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Tax Calculation Workbook - iasWorld Bills\"/>
    </mc:Choice>
  </mc:AlternateContent>
  <xr:revisionPtr revIDLastSave="0" documentId="13_ncr:1_{D4879C63-306C-46C8-BEAD-8ADAACA9D563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Main Tax Calculation Wksh" sheetId="1" r:id="rId1"/>
    <sheet name="G'Town " sheetId="2" r:id="rId2"/>
    <sheet name="Harlem " sheetId="3" r:id="rId3"/>
    <sheet name="All Other Districts" sheetId="4" r:id="rId4"/>
  </sheets>
  <definedNames>
    <definedName name="EXEMPTIONS">'Main Tax Calculation Wksh'!$C$43:$I$48</definedName>
    <definedName name="MILLRATES">'Main Tax Calculation Wksh'!$A$30:$J$37</definedName>
    <definedName name="_xlnm.Print_Area" localSheetId="3">'All Other Districts'!$A$1:$H$44</definedName>
    <definedName name="_xlnm.Print_Area" localSheetId="1">'G''Town '!$A$1:$H$44</definedName>
    <definedName name="_xlnm.Print_Area" localSheetId="2">'Harlem '!$A$1:$H$44</definedName>
    <definedName name="_xlnm.Print_Area" localSheetId="0">'Main Tax Calculation Wksh'!$A$1:$J$27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C42" i="3"/>
  <c r="C36" i="3" l="1"/>
  <c r="C29" i="3"/>
  <c r="C22" i="3"/>
  <c r="C15" i="3"/>
  <c r="C8" i="3"/>
  <c r="H23" i="1"/>
  <c r="H19" i="1"/>
  <c r="G19" i="1"/>
  <c r="F19" i="1"/>
  <c r="E19" i="1"/>
  <c r="C23" i="1"/>
  <c r="D19" i="1"/>
  <c r="C19" i="1"/>
  <c r="E17" i="1" l="1"/>
  <c r="C17" i="1"/>
  <c r="G17" i="1" l="1"/>
  <c r="F17" i="1"/>
  <c r="C36" i="4" l="1"/>
  <c r="C29" i="4"/>
  <c r="C22" i="4"/>
  <c r="C15" i="4"/>
  <c r="C36" i="2" l="1"/>
  <c r="C29" i="2"/>
  <c r="C22" i="2"/>
  <c r="C15" i="2"/>
  <c r="C8" i="2" l="1"/>
  <c r="C8" i="4"/>
  <c r="K7" i="4" l="1"/>
  <c r="K8" i="4"/>
  <c r="K9" i="4"/>
  <c r="K10" i="4"/>
  <c r="K11" i="4"/>
  <c r="K12" i="4"/>
  <c r="H16" i="1"/>
  <c r="H17" i="1" s="1"/>
  <c r="G16" i="1"/>
  <c r="F16" i="1"/>
  <c r="E16" i="1"/>
  <c r="D16" i="1"/>
  <c r="C16" i="1"/>
  <c r="H30" i="2" l="1"/>
  <c r="H23" i="2"/>
  <c r="H30" i="3"/>
  <c r="H23" i="3"/>
  <c r="H37" i="4"/>
  <c r="H30" i="4"/>
  <c r="H23" i="4" l="1"/>
  <c r="H16" i="4"/>
  <c r="H9" i="4"/>
  <c r="G37" i="4"/>
  <c r="G30" i="4"/>
  <c r="G23" i="4"/>
  <c r="G16" i="4"/>
  <c r="G9" i="4"/>
  <c r="F37" i="4"/>
  <c r="F30" i="4"/>
  <c r="F23" i="4"/>
  <c r="F16" i="4"/>
  <c r="F9" i="4"/>
  <c r="E37" i="4"/>
  <c r="E30" i="4"/>
  <c r="E23" i="4"/>
  <c r="E16" i="4"/>
  <c r="E9" i="4"/>
  <c r="D37" i="4"/>
  <c r="D30" i="4"/>
  <c r="D23" i="4"/>
  <c r="D16" i="4"/>
  <c r="D9" i="4"/>
  <c r="H37" i="3"/>
  <c r="H16" i="3"/>
  <c r="H9" i="3"/>
  <c r="G37" i="3"/>
  <c r="G30" i="3"/>
  <c r="G23" i="3"/>
  <c r="G16" i="3"/>
  <c r="G9" i="3"/>
  <c r="F37" i="3"/>
  <c r="F30" i="3"/>
  <c r="F23" i="3"/>
  <c r="F16" i="3"/>
  <c r="F9" i="3"/>
  <c r="E37" i="3"/>
  <c r="E30" i="3"/>
  <c r="E23" i="3"/>
  <c r="E16" i="3"/>
  <c r="E9" i="3"/>
  <c r="D37" i="3"/>
  <c r="D30" i="3"/>
  <c r="D23" i="3"/>
  <c r="D16" i="3"/>
  <c r="D9" i="3"/>
  <c r="C37" i="3"/>
  <c r="H37" i="2"/>
  <c r="H16" i="2"/>
  <c r="H9" i="2"/>
  <c r="G37" i="2"/>
  <c r="G30" i="2"/>
  <c r="G23" i="2"/>
  <c r="G16" i="2"/>
  <c r="G9" i="2"/>
  <c r="F37" i="2"/>
  <c r="F30" i="2"/>
  <c r="F23" i="2"/>
  <c r="F16" i="2"/>
  <c r="F9" i="2"/>
  <c r="E37" i="2"/>
  <c r="E30" i="2"/>
  <c r="E23" i="2"/>
  <c r="E16" i="2"/>
  <c r="E9" i="2"/>
  <c r="D37" i="2"/>
  <c r="D30" i="2"/>
  <c r="D23" i="2"/>
  <c r="D16" i="2"/>
  <c r="D9" i="2"/>
  <c r="C16" i="2"/>
  <c r="C30" i="2"/>
  <c r="C16" i="3"/>
  <c r="C30" i="3"/>
  <c r="C37" i="4"/>
  <c r="C30" i="4"/>
  <c r="C23" i="4"/>
  <c r="C16" i="4"/>
  <c r="C9" i="4"/>
  <c r="C23" i="3"/>
  <c r="C9" i="3"/>
  <c r="C37" i="2"/>
  <c r="C23" i="2"/>
  <c r="C9" i="2"/>
  <c r="C39" i="3"/>
  <c r="C32" i="3"/>
  <c r="C25" i="3"/>
  <c r="C18" i="3"/>
  <c r="C11" i="3"/>
  <c r="C39" i="2"/>
  <c r="C32" i="2"/>
  <c r="C25" i="2"/>
  <c r="C18" i="2"/>
  <c r="C11" i="2"/>
  <c r="C39" i="4"/>
  <c r="C32" i="4"/>
  <c r="C25" i="4"/>
  <c r="C18" i="4"/>
  <c r="C11" i="4"/>
  <c r="C12" i="1"/>
  <c r="H25" i="4" l="1"/>
  <c r="D25" i="4"/>
  <c r="G25" i="4"/>
  <c r="F25" i="4"/>
  <c r="E25" i="4"/>
  <c r="K12" i="3" l="1"/>
  <c r="K11" i="3"/>
  <c r="K10" i="3"/>
  <c r="K9" i="3"/>
  <c r="K8" i="3"/>
  <c r="K7" i="3"/>
  <c r="K12" i="2"/>
  <c r="K11" i="2"/>
  <c r="K10" i="2"/>
  <c r="K9" i="2"/>
  <c r="K8" i="2"/>
  <c r="K7" i="2"/>
  <c r="C42" i="2"/>
  <c r="C42" i="4"/>
  <c r="D29" i="4"/>
  <c r="D31" i="4" s="1"/>
  <c r="D15" i="4"/>
  <c r="D17" i="4" s="1"/>
  <c r="D29" i="3"/>
  <c r="D31" i="3" s="1"/>
  <c r="D15" i="3"/>
  <c r="D17" i="3" s="1"/>
  <c r="D8" i="3"/>
  <c r="D10" i="3" s="1"/>
  <c r="D29" i="2"/>
  <c r="D15" i="2"/>
  <c r="D8" i="2"/>
  <c r="H39" i="4"/>
  <c r="G39" i="4"/>
  <c r="F39" i="4"/>
  <c r="E39" i="4"/>
  <c r="D39" i="4"/>
  <c r="H32" i="4"/>
  <c r="G32" i="4"/>
  <c r="F32" i="4"/>
  <c r="E32" i="4"/>
  <c r="D32" i="4"/>
  <c r="H18" i="4"/>
  <c r="G18" i="4"/>
  <c r="F18" i="4"/>
  <c r="E18" i="4"/>
  <c r="D18" i="4"/>
  <c r="H11" i="4"/>
  <c r="G11" i="4"/>
  <c r="F11" i="4"/>
  <c r="E11" i="4"/>
  <c r="D11" i="4"/>
  <c r="H39" i="3"/>
  <c r="G39" i="3"/>
  <c r="F39" i="3"/>
  <c r="E39" i="3"/>
  <c r="D39" i="3"/>
  <c r="H32" i="3"/>
  <c r="G32" i="3"/>
  <c r="F32" i="3"/>
  <c r="E32" i="3"/>
  <c r="D32" i="3"/>
  <c r="H25" i="3"/>
  <c r="G25" i="3"/>
  <c r="F25" i="3"/>
  <c r="E25" i="3"/>
  <c r="D25" i="3"/>
  <c r="H18" i="3"/>
  <c r="G18" i="3"/>
  <c r="F18" i="3"/>
  <c r="E18" i="3"/>
  <c r="D18" i="3"/>
  <c r="H11" i="3"/>
  <c r="G11" i="3"/>
  <c r="F11" i="3"/>
  <c r="E11" i="3"/>
  <c r="D11" i="3"/>
  <c r="D33" i="3" l="1"/>
  <c r="D12" i="3"/>
  <c r="D33" i="4"/>
  <c r="D19" i="4"/>
  <c r="D19" i="3"/>
  <c r="C38" i="4"/>
  <c r="C40" i="4" s="1"/>
  <c r="C10" i="4"/>
  <c r="C12" i="4" s="1"/>
  <c r="C10" i="3"/>
  <c r="C12" i="3" s="1"/>
  <c r="C31" i="3"/>
  <c r="C33" i="3" s="1"/>
  <c r="C24" i="4"/>
  <c r="C26" i="4" s="1"/>
  <c r="C17" i="3"/>
  <c r="C19" i="3" s="1"/>
  <c r="C17" i="4"/>
  <c r="C19" i="4" s="1"/>
  <c r="C31" i="4"/>
  <c r="C33" i="4" s="1"/>
  <c r="H42" i="4"/>
  <c r="D42" i="4"/>
  <c r="C24" i="3"/>
  <c r="C26" i="3" s="1"/>
  <c r="C38" i="3"/>
  <c r="C40" i="3" s="1"/>
  <c r="G42" i="4"/>
  <c r="F42" i="4"/>
  <c r="E42" i="4"/>
  <c r="G29" i="4"/>
  <c r="G31" i="4" s="1"/>
  <c r="G33" i="4" s="1"/>
  <c r="H8" i="4"/>
  <c r="H10" i="4" s="1"/>
  <c r="H12" i="4" s="1"/>
  <c r="D8" i="4"/>
  <c r="D10" i="4" s="1"/>
  <c r="D12" i="4" s="1"/>
  <c r="G15" i="4"/>
  <c r="G17" i="4" s="1"/>
  <c r="G19" i="4" s="1"/>
  <c r="F15" i="4"/>
  <c r="F17" i="4" s="1"/>
  <c r="F19" i="4" s="1"/>
  <c r="E15" i="4"/>
  <c r="E17" i="4" s="1"/>
  <c r="E19" i="4" s="1"/>
  <c r="H22" i="4"/>
  <c r="H24" i="4" s="1"/>
  <c r="H26" i="4" s="1"/>
  <c r="D22" i="4"/>
  <c r="D24" i="4" s="1"/>
  <c r="D26" i="4" s="1"/>
  <c r="F29" i="4"/>
  <c r="F31" i="4" s="1"/>
  <c r="F33" i="4" s="1"/>
  <c r="E29" i="4"/>
  <c r="E31" i="4" s="1"/>
  <c r="E33" i="4" s="1"/>
  <c r="H36" i="4"/>
  <c r="H38" i="4" s="1"/>
  <c r="H40" i="4" s="1"/>
  <c r="D36" i="4"/>
  <c r="D38" i="4" s="1"/>
  <c r="D40" i="4" s="1"/>
  <c r="G8" i="4"/>
  <c r="G10" i="4" s="1"/>
  <c r="G12" i="4" s="1"/>
  <c r="F8" i="4"/>
  <c r="F10" i="4" s="1"/>
  <c r="F12" i="4" s="1"/>
  <c r="E8" i="4"/>
  <c r="E10" i="4" s="1"/>
  <c r="E12" i="4" s="1"/>
  <c r="H15" i="4"/>
  <c r="H17" i="4" s="1"/>
  <c r="H19" i="4" s="1"/>
  <c r="G22" i="4"/>
  <c r="G24" i="4" s="1"/>
  <c r="G26" i="4" s="1"/>
  <c r="F22" i="4"/>
  <c r="F24" i="4" s="1"/>
  <c r="F26" i="4" s="1"/>
  <c r="E22" i="4"/>
  <c r="E24" i="4" s="1"/>
  <c r="E26" i="4" s="1"/>
  <c r="H29" i="4"/>
  <c r="G36" i="4"/>
  <c r="G38" i="4" s="1"/>
  <c r="G40" i="4" s="1"/>
  <c r="F36" i="4"/>
  <c r="F38" i="4" s="1"/>
  <c r="F40" i="4" s="1"/>
  <c r="E36" i="4"/>
  <c r="E38" i="4" s="1"/>
  <c r="E40" i="4" s="1"/>
  <c r="H42" i="3"/>
  <c r="D42" i="3"/>
  <c r="G42" i="3"/>
  <c r="F42" i="3"/>
  <c r="E42" i="3"/>
  <c r="G29" i="3"/>
  <c r="G31" i="3" s="1"/>
  <c r="G33" i="3" s="1"/>
  <c r="E29" i="3"/>
  <c r="E31" i="3" s="1"/>
  <c r="E33" i="3" s="1"/>
  <c r="F29" i="3"/>
  <c r="F31" i="3" s="1"/>
  <c r="F33" i="3" s="1"/>
  <c r="G8" i="3"/>
  <c r="G10" i="3" s="1"/>
  <c r="G12" i="3" s="1"/>
  <c r="F8" i="3"/>
  <c r="F10" i="3" s="1"/>
  <c r="F12" i="3" s="1"/>
  <c r="E8" i="3"/>
  <c r="E10" i="3" s="1"/>
  <c r="E12" i="3" s="1"/>
  <c r="G15" i="3"/>
  <c r="G17" i="3" s="1"/>
  <c r="G19" i="3" s="1"/>
  <c r="F15" i="3"/>
  <c r="F17" i="3" s="1"/>
  <c r="F19" i="3" s="1"/>
  <c r="E15" i="3"/>
  <c r="E17" i="3" s="1"/>
  <c r="E19" i="3" s="1"/>
  <c r="H22" i="3"/>
  <c r="D22" i="3"/>
  <c r="D24" i="3" s="1"/>
  <c r="D26" i="3" s="1"/>
  <c r="H36" i="3"/>
  <c r="H38" i="3" s="1"/>
  <c r="H40" i="3" s="1"/>
  <c r="D36" i="3"/>
  <c r="D38" i="3" s="1"/>
  <c r="D40" i="3" s="1"/>
  <c r="H8" i="3"/>
  <c r="H10" i="3" s="1"/>
  <c r="H12" i="3" s="1"/>
  <c r="H15" i="3"/>
  <c r="H17" i="3" s="1"/>
  <c r="H19" i="3" s="1"/>
  <c r="G22" i="3"/>
  <c r="G24" i="3" s="1"/>
  <c r="G26" i="3" s="1"/>
  <c r="F22" i="3"/>
  <c r="F24" i="3" s="1"/>
  <c r="F26" i="3" s="1"/>
  <c r="E22" i="3"/>
  <c r="E24" i="3" s="1"/>
  <c r="E26" i="3" s="1"/>
  <c r="H29" i="3"/>
  <c r="H31" i="3" s="1"/>
  <c r="H33" i="3" s="1"/>
  <c r="G36" i="3"/>
  <c r="G38" i="3" s="1"/>
  <c r="G40" i="3" s="1"/>
  <c r="F36" i="3"/>
  <c r="F38" i="3" s="1"/>
  <c r="F40" i="3" s="1"/>
  <c r="E36" i="3"/>
  <c r="E38" i="3" s="1"/>
  <c r="E40" i="3" s="1"/>
  <c r="H42" i="2"/>
  <c r="D42" i="2"/>
  <c r="G42" i="2"/>
  <c r="F42" i="2"/>
  <c r="E42" i="2"/>
  <c r="F15" i="2"/>
  <c r="G29" i="2"/>
  <c r="E29" i="2"/>
  <c r="G8" i="2"/>
  <c r="G15" i="2"/>
  <c r="F29" i="2"/>
  <c r="F8" i="2"/>
  <c r="E8" i="2"/>
  <c r="E15" i="2"/>
  <c r="H22" i="2"/>
  <c r="D22" i="2"/>
  <c r="H36" i="2"/>
  <c r="D36" i="2"/>
  <c r="H8" i="2"/>
  <c r="H15" i="2"/>
  <c r="G22" i="2"/>
  <c r="F22" i="2"/>
  <c r="E22" i="2"/>
  <c r="H29" i="2"/>
  <c r="G36" i="2"/>
  <c r="F36" i="2"/>
  <c r="E36" i="2"/>
  <c r="F44" i="4" l="1"/>
  <c r="D44" i="3"/>
  <c r="G44" i="3"/>
  <c r="C44" i="3"/>
  <c r="E44" i="3"/>
  <c r="F44" i="3"/>
  <c r="E44" i="4"/>
  <c r="C44" i="4"/>
  <c r="G44" i="4"/>
  <c r="D44" i="4"/>
  <c r="H24" i="3"/>
  <c r="H31" i="4"/>
  <c r="H33" i="4" s="1"/>
  <c r="H44" i="4" s="1"/>
  <c r="D39" i="2"/>
  <c r="E39" i="2"/>
  <c r="F39" i="2"/>
  <c r="G39" i="2"/>
  <c r="H39" i="2"/>
  <c r="D32" i="2"/>
  <c r="E32" i="2"/>
  <c r="F32" i="2"/>
  <c r="G32" i="2"/>
  <c r="H32" i="2"/>
  <c r="D25" i="2"/>
  <c r="E25" i="2"/>
  <c r="F25" i="2"/>
  <c r="G25" i="2"/>
  <c r="H25" i="2"/>
  <c r="D18" i="2"/>
  <c r="E18" i="2"/>
  <c r="F18" i="2"/>
  <c r="G18" i="2"/>
  <c r="H18" i="2"/>
  <c r="D11" i="2"/>
  <c r="E11" i="2"/>
  <c r="F11" i="2"/>
  <c r="G11" i="2"/>
  <c r="H11" i="2"/>
  <c r="D38" i="2"/>
  <c r="E38" i="2"/>
  <c r="F38" i="2"/>
  <c r="G38" i="2"/>
  <c r="H38" i="2"/>
  <c r="D31" i="2"/>
  <c r="E31" i="2"/>
  <c r="F31" i="2"/>
  <c r="G31" i="2"/>
  <c r="D24" i="2"/>
  <c r="E24" i="2"/>
  <c r="F24" i="2"/>
  <c r="G24" i="2"/>
  <c r="D17" i="2"/>
  <c r="E17" i="2"/>
  <c r="F17" i="2"/>
  <c r="G17" i="2"/>
  <c r="H17" i="2"/>
  <c r="D10" i="2"/>
  <c r="E10" i="2"/>
  <c r="F10" i="2"/>
  <c r="G10" i="2"/>
  <c r="H10" i="2"/>
  <c r="C38" i="2"/>
  <c r="C40" i="2" s="1"/>
  <c r="C31" i="2"/>
  <c r="C33" i="2" s="1"/>
  <c r="C24" i="2"/>
  <c r="C26" i="2" s="1"/>
  <c r="C17" i="2"/>
  <c r="C19" i="2" s="1"/>
  <c r="C10" i="2"/>
  <c r="C12" i="2" s="1"/>
  <c r="C44" i="2" l="1"/>
  <c r="D19" i="2"/>
  <c r="G26" i="2"/>
  <c r="E26" i="2"/>
  <c r="F33" i="2"/>
  <c r="D26" i="2"/>
  <c r="F26" i="2"/>
  <c r="G33" i="2"/>
  <c r="E33" i="2"/>
  <c r="G12" i="2"/>
  <c r="F12" i="2"/>
  <c r="E12" i="2"/>
  <c r="G19" i="2"/>
  <c r="F19" i="2"/>
  <c r="E19" i="2"/>
  <c r="G40" i="2"/>
  <c r="F40" i="2"/>
  <c r="E40" i="2"/>
  <c r="H12" i="2"/>
  <c r="D12" i="2"/>
  <c r="H19" i="2"/>
  <c r="D33" i="2"/>
  <c r="H40" i="2"/>
  <c r="D40" i="2"/>
  <c r="H26" i="3"/>
  <c r="H44" i="3" s="1"/>
  <c r="H24" i="2"/>
  <c r="H26" i="2" s="1"/>
  <c r="H31" i="2"/>
  <c r="H33" i="2" s="1"/>
  <c r="G44" i="2" l="1"/>
  <c r="D44" i="2"/>
  <c r="E44" i="2"/>
  <c r="H44" i="2"/>
  <c r="F44" i="2"/>
  <c r="J37" i="1"/>
  <c r="J36" i="1"/>
  <c r="J35" i="1"/>
  <c r="J34" i="1"/>
  <c r="J33" i="1"/>
  <c r="J32" i="1"/>
  <c r="D17" i="1"/>
  <c r="J5" i="1" l="1"/>
  <c r="D18" i="1"/>
  <c r="D20" i="1" s="1"/>
  <c r="C18" i="1"/>
  <c r="C20" i="1" s="1"/>
  <c r="E18" i="1"/>
  <c r="G18" i="1"/>
  <c r="F18" i="1"/>
  <c r="F20" i="1" s="1"/>
  <c r="H18" i="1"/>
  <c r="H20" i="1" s="1"/>
  <c r="E20" i="1" l="1"/>
  <c r="E26" i="1" s="1"/>
  <c r="G20" i="1"/>
  <c r="G26" i="1" s="1"/>
  <c r="D26" i="1"/>
  <c r="C22" i="1"/>
  <c r="C24" i="1" s="1"/>
  <c r="C26" i="1" s="1"/>
  <c r="F26" i="1"/>
  <c r="H22" i="1"/>
  <c r="H24" i="1" s="1"/>
  <c r="H26" i="1" s="1"/>
  <c r="J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sadams</author>
    <author>Tax Commissioner</author>
  </authors>
  <commentList>
    <comment ref="A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The Mill Rate Table and the Exemption Table at the bottom of this Worksheet should be updated each year prior to the Tax Digest Submission.</t>
        </r>
      </text>
    </comment>
    <comment ref="B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The Taxpayer's Name should be entered in this cell.</t>
        </r>
      </text>
    </comment>
    <comment ref="B8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This figure is 40% (Assessed Value) of the FMV.</t>
        </r>
      </text>
    </comment>
    <comment ref="B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The appropriate Map &amp; Parcel Number should be entered in this cell.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The appropriate Tax District Number must be entered in this cell. The Tax Districts are as follows:
21 =  BOC/BOE District 1
22 = BOC/BOE District 2
23 = BOC/BOE District 3
24 = BOC/BOE District 4
25 = City of GROVETOWN
26 = City of HARLEM</t>
        </r>
      </text>
    </comment>
    <comment ref="B11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The appropriate Exemption Code should be entered in this cell. If the taxpayer does not claim an exemption, the cell should be left blank.
</t>
        </r>
        <r>
          <rPr>
            <b/>
            <sz val="10"/>
            <color indexed="81"/>
            <rFont val="Tahoma"/>
            <family val="2"/>
          </rPr>
          <t>Selecting L6 Exemption over a L3 Exemption</t>
        </r>
        <r>
          <rPr>
            <sz val="10"/>
            <color indexed="81"/>
            <rFont val="Tahoma"/>
            <family val="2"/>
          </rPr>
          <t xml:space="preserve">
Grovetown (District 25) &amp; Harlem (District 26):
</t>
        </r>
        <r>
          <rPr>
            <b/>
            <sz val="10"/>
            <color indexed="10"/>
            <rFont val="Tahoma"/>
            <family val="2"/>
          </rPr>
          <t>ASV should be greater than $53,650 or APV should be greater than $134,125</t>
        </r>
        <r>
          <rPr>
            <b/>
            <sz val="10"/>
            <color indexed="81"/>
            <rFont val="Tahoma"/>
            <family val="2"/>
          </rPr>
          <t>.</t>
        </r>
        <r>
          <rPr>
            <sz val="10"/>
            <color indexed="81"/>
            <rFont val="Tahoma"/>
            <family val="2"/>
          </rPr>
          <t xml:space="preserve">
All Other Districts (District 21 thru 24)
</t>
        </r>
        <r>
          <rPr>
            <b/>
            <sz val="10"/>
            <color indexed="10"/>
            <rFont val="Tahoma"/>
            <family val="2"/>
          </rPr>
          <t>ASV should be greater than $58,000 or APV should be greater than $145,000.</t>
        </r>
        <r>
          <rPr>
            <sz val="10"/>
            <color indexed="10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u/>
            <sz val="10"/>
            <color indexed="81"/>
            <rFont val="Tahoma"/>
            <family val="2"/>
          </rPr>
          <t>The following is a list of legitmate Exemption Codes.</t>
        </r>
        <r>
          <rPr>
            <sz val="10"/>
            <color indexed="81"/>
            <rFont val="Tahoma"/>
            <family val="2"/>
          </rPr>
          <t xml:space="preserve">
S1 =  Regular Homestead
S5 =  Disabled Veterans
SG =  Surviving Spouse of FF or Peace Ofc Killed on duty
SS =  Surviving Spouse of one Killed in a Military Conflict.
L3 =  Homeowner Age 62 &amp; Net Income $15,000 or less
L5 =  Total &amp; Permanent Disability &amp; Net Income $15,000 or less
L6 =  Local Senior School Exemption (No Income Limitations)</t>
        </r>
      </text>
    </comment>
    <comment ref="B12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If there is a street light assessment on this map and parcel, please enter "Y" in this cell, otherwise leave the cell blank.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 Steven Adams</author>
  </authors>
  <commentList>
    <comment ref="A1" authorId="0" shapeId="0" xr:uid="{00000000-0006-0000-0100-000001000000}">
      <text>
        <r>
          <rPr>
            <sz val="8"/>
            <color indexed="81"/>
            <rFont val="Tahoma"/>
            <family val="2"/>
          </rPr>
          <t>The millage rate and Exemptions should be reviewed each year an updated.</t>
        </r>
      </text>
    </comment>
    <comment ref="C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Standard Homestead Exemption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Disabled Veteran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Unremarried Surviving Spouse of 
Military Service Member killed in action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Age 62 - combined household income from wages &amp; investment income must be $15,000 or less &amp; $63,336 or less in retirement benefits from pensions, social security, disability, annuities and IRAs.</t>
        </r>
      </text>
    </comment>
    <comment ref="G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Total &amp; Permanent Disability &amp; Net Income of $15,000 or less.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Age 70 School Tax Exemption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5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Standard Homestead Exemption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5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Disabled Veteran</t>
        </r>
      </text>
    </comment>
    <comment ref="E45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Unremarried Surviving Spouse of 
Military Service Member killed in action</t>
        </r>
      </text>
    </comment>
    <comment ref="F45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Age 62 - combined household income from wages &amp; investment income must be $15,000 or less &amp; $63,336 or less in retirement benefits from pensions, social security, disability, annuities and IRAs.</t>
        </r>
      </text>
    </comment>
    <comment ref="G45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Total &amp; Permanent Disability &amp; Net Income of $15,000 or less.</t>
        </r>
      </text>
    </comment>
    <comment ref="H45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Age 70 School Tax Exemption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 Steven Adams</author>
  </authors>
  <commentList>
    <comment ref="A1" authorId="0" shapeId="0" xr:uid="{00000000-0006-0000-0200-000001000000}">
      <text>
        <r>
          <rPr>
            <sz val="8"/>
            <color indexed="81"/>
            <rFont val="Tahoma"/>
            <family val="2"/>
          </rPr>
          <t>The millage rate and Exemptions should be reviewed each year an updated.</t>
        </r>
      </text>
    </comment>
    <comment ref="C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Standard Homestead Exemption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Disabled Veteran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Unremarried Surviving Spouse of 
Military Service Member killed in action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Age 62 - combined household income from wages &amp; investment income must be $15,000 or less &amp; $63,336 or less in retirement benefits from pensions, social security, disability, annuities and IRAs.</t>
        </r>
      </text>
    </comment>
    <comment ref="G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Total &amp; Permanent Disability &amp; Net Income of $15,000 or less.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Age 70 School Tax Exemption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5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Standard Homestead Exemption</t>
        </r>
      </text>
    </comment>
    <comment ref="D45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Disabled Veteran</t>
        </r>
      </text>
    </comment>
    <comment ref="E45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Unremarried Surviving Spouse of 
Military Service Member killed in action</t>
        </r>
      </text>
    </comment>
    <comment ref="F45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Age 62 - combined household income from wages &amp; investment income must be $15,000 or less &amp; $63,336 or less in retirement benefits from pensions, social security, disability, annuities and IRAs.</t>
        </r>
      </text>
    </comment>
    <comment ref="G45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Total &amp; Permanent Disability &amp; Net Income of $15,000 or less.</t>
        </r>
      </text>
    </comment>
    <comment ref="H45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Age 70 School Tax Exemption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 Steven Adams</author>
  </authors>
  <commentList>
    <comment ref="A1" authorId="0" shapeId="0" xr:uid="{00000000-0006-0000-0300-000001000000}">
      <text>
        <r>
          <rPr>
            <sz val="8"/>
            <color indexed="81"/>
            <rFont val="Tahoma"/>
            <family val="2"/>
          </rPr>
          <t>The millage rate and Exemptions should be reviewed each year an updated.</t>
        </r>
      </text>
    </comment>
    <comment ref="C6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Standard Homestead Exemption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Disabled Veteran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Unremarried Surviving Spouse of 
Military Service Member killed in action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Age 62 - combined household income from wages &amp; investment income must be $15,000 or less &amp; $63,336 or less in retirement benefits from pensions, social security, disability, annuities and IRAs.</t>
        </r>
      </text>
    </comment>
    <comment ref="G6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Total &amp; Permanent Disability &amp; Net Income of $15,000 or less.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Age 70 School Tax Exemption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5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Standard Homestead Exemption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5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Disabled Veteran</t>
        </r>
      </text>
    </comment>
    <comment ref="E45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Unremarried Surviving Spouse of 
Military Service Member killed in action</t>
        </r>
      </text>
    </comment>
    <comment ref="F45" authorId="0" shapeId="0" xr:uid="{00000000-0006-0000-0300-00000B000000}">
      <text>
        <r>
          <rPr>
            <b/>
            <sz val="8"/>
            <color indexed="81"/>
            <rFont val="Tahoma"/>
            <family val="2"/>
          </rPr>
          <t>Age 62 - combined household income from wages &amp; investment income must be $15,000 or less &amp; $63,336 or less in retirement benefits from pensions, social security, disability, annuities and IRAs.</t>
        </r>
      </text>
    </comment>
    <comment ref="G45" authorId="0" shapeId="0" xr:uid="{00000000-0006-0000-0300-00000C000000}">
      <text>
        <r>
          <rPr>
            <b/>
            <sz val="8"/>
            <color indexed="81"/>
            <rFont val="Tahoma"/>
            <family val="2"/>
          </rPr>
          <t>Total &amp; Permanent Disability &amp; Net Income of $15,000 or less.</t>
        </r>
      </text>
    </comment>
    <comment ref="H45" authorId="0" shapeId="0" xr:uid="{00000000-0006-0000-0300-00000D000000}">
      <text>
        <r>
          <rPr>
            <b/>
            <sz val="8"/>
            <color indexed="81"/>
            <rFont val="Tahoma"/>
            <family val="2"/>
          </rPr>
          <t>Age 70 School Tax Exemption</t>
        </r>
      </text>
    </comment>
  </commentList>
</comments>
</file>

<file path=xl/sharedStrings.xml><?xml version="1.0" encoding="utf-8"?>
<sst xmlns="http://schemas.openxmlformats.org/spreadsheetml/2006/main" count="247" uniqueCount="66">
  <si>
    <t>COLUMBIA COUNTY</t>
  </si>
  <si>
    <t>TAX COMMISSIONER'S OFFICE</t>
  </si>
  <si>
    <t>Total Millage Rate</t>
  </si>
  <si>
    <t>NAME:</t>
  </si>
  <si>
    <t>REMIT TO:</t>
  </si>
  <si>
    <t>COLUMBIA COUNTY TAX COMMISSIONER</t>
  </si>
  <si>
    <t>MAP/PARCEL:</t>
  </si>
  <si>
    <t>P O BOX 3030</t>
  </si>
  <si>
    <t>TAX DISTRICT:</t>
  </si>
  <si>
    <t>EVANS, GA 30809</t>
  </si>
  <si>
    <t>EXEMPTION:</t>
  </si>
  <si>
    <t>STREET LIGHTS?:</t>
  </si>
  <si>
    <t>COUNTY TAX</t>
  </si>
  <si>
    <t>COUNTY FIRE</t>
  </si>
  <si>
    <t>COUNTY BOND</t>
  </si>
  <si>
    <t>SCHOOL TAX</t>
  </si>
  <si>
    <t>SCHOOL BOND</t>
  </si>
  <si>
    <t>CITY TAX</t>
  </si>
  <si>
    <t>STREET LIGHTS</t>
  </si>
  <si>
    <t>TOTAL</t>
  </si>
  <si>
    <t>GROSS ASSESSMENT</t>
  </si>
  <si>
    <t xml:space="preserve"> -      EXEMPTION</t>
  </si>
  <si>
    <t xml:space="preserve"> =     NET ASSESSMENT</t>
  </si>
  <si>
    <t xml:space="preserve"> x     GROSS MILLAGE RATE</t>
  </si>
  <si>
    <t xml:space="preserve">(A)   GROSS TAX  </t>
  </si>
  <si>
    <t xml:space="preserve">NET ASSESSMENT </t>
  </si>
  <si>
    <t>LOCAL OPTION MILLAGE</t>
  </si>
  <si>
    <t>(B)   LOCAL OPTION CREDIT</t>
  </si>
  <si>
    <t xml:space="preserve">(D)  NET TAX DUE     (A) + (B) + (C) </t>
  </si>
  <si>
    <t>MILL RATE TABLE</t>
  </si>
  <si>
    <t>TAX DISTRICT</t>
  </si>
  <si>
    <t>GROSS COUNTY TAX</t>
  </si>
  <si>
    <t>SALES TAX CREDIT</t>
  </si>
  <si>
    <t>GROSS CITY TAX</t>
  </si>
  <si>
    <t>CITY SALES TAX CREDIT</t>
  </si>
  <si>
    <t>EXEMPTION TABLE</t>
  </si>
  <si>
    <t>EXEMPTION CODE</t>
  </si>
  <si>
    <t>CITY  TAX</t>
  </si>
  <si>
    <t>S1</t>
  </si>
  <si>
    <t>S5</t>
  </si>
  <si>
    <t>SS</t>
  </si>
  <si>
    <t>L3</t>
  </si>
  <si>
    <t>L5</t>
  </si>
  <si>
    <t>L6</t>
  </si>
  <si>
    <t>Y</t>
  </si>
  <si>
    <t>Gross Assessment</t>
  </si>
  <si>
    <t>Less Exemption</t>
  </si>
  <si>
    <t>Net Assessment</t>
  </si>
  <si>
    <t>Millage Rate</t>
  </si>
  <si>
    <t>COUNTY TAX COMPONENT</t>
  </si>
  <si>
    <t>X</t>
  </si>
  <si>
    <t>=</t>
  </si>
  <si>
    <t>-</t>
  </si>
  <si>
    <t>CITY OF GROVETOWN</t>
  </si>
  <si>
    <t>COUNTY BOND COMPONENT</t>
  </si>
  <si>
    <t>SCHOOL TAX COMPONENT</t>
  </si>
  <si>
    <t>SCHOOL BOND COMPONENT</t>
  </si>
  <si>
    <t>CITY TAX COMPONENT</t>
  </si>
  <si>
    <t>TOTAL DUE:</t>
  </si>
  <si>
    <t>FIRE TAX COMPONENT</t>
  </si>
  <si>
    <t>CITY OF HARLEM</t>
  </si>
  <si>
    <t>ALL OTHER DISTRICTS</t>
  </si>
  <si>
    <t>N</t>
  </si>
  <si>
    <t>ASSESSED VALUE</t>
  </si>
  <si>
    <t>2024 COMPARATIVE EXEMPTIONS TAX CALCULATION</t>
  </si>
  <si>
    <t>2025 REAL PROPERTY TAX CALCULATION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</si>
</sst>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"/>
    <numFmt numFmtId="165" formatCode="0.00000"/>
    <numFmt numFmtId="166" formatCode="#,##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indexed="10"/>
      <name val="Times New Roman"/>
      <family val="1"/>
    </font>
    <font>
      <b/>
      <sz val="16"/>
      <name val="Times New Roman"/>
      <family val="1"/>
    </font>
    <font>
      <i/>
      <sz val="16"/>
      <color indexed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6"/>
      <color rgb="FFFF0000"/>
      <name val="Times New Roman"/>
      <family val="1"/>
    </font>
    <font>
      <b/>
      <sz val="16"/>
      <color rgb="FFFF000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u/>
      <sz val="10"/>
      <color indexed="81"/>
      <name val="Tahoma"/>
      <family val="2"/>
    </font>
    <font>
      <b/>
      <i/>
      <sz val="14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0" fillId="0" borderId="0" xfId="0" applyNumberFormat="1"/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6" fillId="0" borderId="0" xfId="0" applyFont="1"/>
    <xf numFmtId="0" fontId="5" fillId="0" borderId="0" xfId="0" applyFont="1" applyAlignment="1">
      <alignment horizontal="centerContinuous"/>
    </xf>
    <xf numFmtId="0" fontId="5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Continuous" vertical="center"/>
    </xf>
    <xf numFmtId="164" fontId="6" fillId="0" borderId="13" xfId="0" applyNumberFormat="1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8" fillId="0" borderId="15" xfId="0" applyFont="1" applyBorder="1"/>
    <xf numFmtId="0" fontId="6" fillId="0" borderId="9" xfId="0" applyFont="1" applyBorder="1"/>
    <xf numFmtId="0" fontId="6" fillId="0" borderId="10" xfId="0" applyFont="1" applyBorder="1"/>
    <xf numFmtId="0" fontId="8" fillId="0" borderId="16" xfId="0" applyFont="1" applyBorder="1"/>
    <xf numFmtId="0" fontId="6" fillId="0" borderId="17" xfId="0" applyFont="1" applyBorder="1"/>
    <xf numFmtId="0" fontId="8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3" fontId="6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4" fontId="10" fillId="0" borderId="0" xfId="0" applyNumberFormat="1" applyFont="1"/>
    <xf numFmtId="4" fontId="7" fillId="0" borderId="14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/>
    <xf numFmtId="0" fontId="10" fillId="0" borderId="21" xfId="0" applyFont="1" applyBorder="1"/>
    <xf numFmtId="0" fontId="10" fillId="2" borderId="22" xfId="0" applyFont="1" applyFill="1" applyBorder="1"/>
    <xf numFmtId="0" fontId="7" fillId="0" borderId="0" xfId="0" applyFont="1"/>
    <xf numFmtId="0" fontId="10" fillId="2" borderId="21" xfId="0" applyFont="1" applyFill="1" applyBorder="1"/>
    <xf numFmtId="4" fontId="10" fillId="0" borderId="23" xfId="1" applyNumberFormat="1" applyFont="1" applyBorder="1" applyAlignment="1" applyProtection="1">
      <alignment horizontal="right"/>
    </xf>
    <xf numFmtId="165" fontId="10" fillId="0" borderId="23" xfId="0" applyNumberFormat="1" applyFont="1" applyBorder="1"/>
    <xf numFmtId="164" fontId="10" fillId="0" borderId="23" xfId="0" applyNumberFormat="1" applyFont="1" applyBorder="1"/>
    <xf numFmtId="0" fontId="7" fillId="0" borderId="19" xfId="0" applyFont="1" applyBorder="1"/>
    <xf numFmtId="4" fontId="10" fillId="0" borderId="20" xfId="0" applyNumberFormat="1" applyFont="1" applyBorder="1"/>
    <xf numFmtId="4" fontId="7" fillId="0" borderId="24" xfId="0" applyNumberFormat="1" applyFont="1" applyBorder="1"/>
    <xf numFmtId="4" fontId="10" fillId="0" borderId="0" xfId="0" applyNumberFormat="1" applyFont="1" applyProtection="1">
      <protection locked="0"/>
    </xf>
    <xf numFmtId="4" fontId="10" fillId="0" borderId="23" xfId="0" applyNumberFormat="1" applyFont="1" applyBorder="1"/>
    <xf numFmtId="4" fontId="7" fillId="2" borderId="23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7" fillId="0" borderId="5" xfId="0" applyFont="1" applyBorder="1" applyAlignment="1">
      <alignment vertical="center" wrapText="1"/>
    </xf>
    <xf numFmtId="4" fontId="10" fillId="0" borderId="25" xfId="0" applyNumberFormat="1" applyFont="1" applyBorder="1"/>
    <xf numFmtId="4" fontId="7" fillId="0" borderId="26" xfId="0" applyNumberFormat="1" applyFont="1" applyBorder="1"/>
    <xf numFmtId="4" fontId="7" fillId="0" borderId="27" xfId="0" applyNumberFormat="1" applyFont="1" applyBorder="1" applyAlignment="1">
      <alignment horizontal="center"/>
    </xf>
    <xf numFmtId="4" fontId="7" fillId="0" borderId="24" xfId="0" applyNumberFormat="1" applyFont="1" applyBorder="1" applyAlignment="1">
      <alignment horizontal="center"/>
    </xf>
    <xf numFmtId="0" fontId="11" fillId="0" borderId="0" xfId="0" applyFont="1"/>
    <xf numFmtId="4" fontId="11" fillId="0" borderId="0" xfId="0" applyNumberFormat="1" applyFont="1"/>
    <xf numFmtId="0" fontId="8" fillId="0" borderId="7" xfId="0" applyFont="1" applyBorder="1" applyAlignment="1">
      <alignment horizontal="centerContinuous"/>
    </xf>
    <xf numFmtId="4" fontId="0" fillId="0" borderId="8" xfId="0" applyNumberFormat="1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28" xfId="0" applyBorder="1" applyAlignment="1">
      <alignment horizontal="centerContinuous"/>
    </xf>
    <xf numFmtId="4" fontId="12" fillId="0" borderId="0" xfId="0" applyNumberFormat="1" applyFont="1" applyAlignment="1">
      <alignment horizontal="center" wrapText="1"/>
    </xf>
    <xf numFmtId="0" fontId="12" fillId="0" borderId="0" xfId="0" applyFont="1"/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4" fontId="8" fillId="0" borderId="7" xfId="0" applyNumberFormat="1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/>
    <xf numFmtId="4" fontId="17" fillId="0" borderId="0" xfId="0" applyNumberFormat="1" applyFont="1"/>
    <xf numFmtId="4" fontId="17" fillId="0" borderId="19" xfId="0" applyNumberFormat="1" applyFont="1" applyBorder="1"/>
    <xf numFmtId="4" fontId="18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left" vertical="center" indent="2"/>
    </xf>
    <xf numFmtId="4" fontId="9" fillId="0" borderId="0" xfId="0" applyNumberFormat="1" applyFont="1" applyAlignment="1">
      <alignment horizontal="left" vertical="center"/>
    </xf>
    <xf numFmtId="164" fontId="17" fillId="0" borderId="19" xfId="0" applyNumberFormat="1" applyFont="1" applyBorder="1"/>
    <xf numFmtId="0" fontId="17" fillId="0" borderId="0" xfId="0" applyFont="1" applyAlignment="1">
      <alignment horizontal="center"/>
    </xf>
    <xf numFmtId="0" fontId="17" fillId="0" borderId="0" xfId="0" quotePrefix="1" applyFont="1" applyAlignment="1">
      <alignment horizontal="center"/>
    </xf>
    <xf numFmtId="4" fontId="17" fillId="0" borderId="0" xfId="0" applyNumberFormat="1" applyFont="1" applyAlignment="1">
      <alignment horizontal="center"/>
    </xf>
    <xf numFmtId="4" fontId="19" fillId="0" borderId="0" xfId="0" applyNumberFormat="1" applyFont="1"/>
    <xf numFmtId="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4" fontId="17" fillId="0" borderId="2" xfId="0" applyNumberFormat="1" applyFont="1" applyBorder="1" applyAlignment="1">
      <alignment horizontal="centerContinuous"/>
    </xf>
    <xf numFmtId="0" fontId="17" fillId="0" borderId="3" xfId="0" applyFont="1" applyBorder="1" applyAlignment="1">
      <alignment horizontal="centerContinuous"/>
    </xf>
    <xf numFmtId="0" fontId="19" fillId="0" borderId="29" xfId="0" applyFont="1" applyBorder="1" applyAlignment="1">
      <alignment horizontal="centerContinuous"/>
    </xf>
    <xf numFmtId="0" fontId="17" fillId="0" borderId="0" xfId="0" applyFont="1" applyAlignment="1">
      <alignment horizontal="centerContinuous"/>
    </xf>
    <xf numFmtId="4" fontId="17" fillId="0" borderId="0" xfId="0" applyNumberFormat="1" applyFont="1" applyAlignment="1">
      <alignment horizontal="centerContinuous"/>
    </xf>
    <xf numFmtId="0" fontId="17" fillId="0" borderId="30" xfId="0" applyFont="1" applyBorder="1" applyAlignment="1">
      <alignment horizontal="centerContinuous"/>
    </xf>
    <xf numFmtId="0" fontId="19" fillId="0" borderId="0" xfId="0" applyFont="1" applyAlignment="1">
      <alignment horizontal="right"/>
    </xf>
    <xf numFmtId="4" fontId="18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left" vertical="center" indent="1"/>
    </xf>
    <xf numFmtId="4" fontId="18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/>
    </xf>
    <xf numFmtId="0" fontId="18" fillId="0" borderId="31" xfId="0" applyFont="1" applyBorder="1" applyAlignment="1">
      <alignment horizontal="centerContinuous"/>
    </xf>
    <xf numFmtId="0" fontId="18" fillId="0" borderId="32" xfId="0" applyFont="1" applyBorder="1" applyAlignment="1">
      <alignment horizontal="centerContinuous"/>
    </xf>
    <xf numFmtId="4" fontId="18" fillId="0" borderId="32" xfId="0" applyNumberFormat="1" applyFont="1" applyBorder="1" applyAlignment="1">
      <alignment horizontal="centerContinuous"/>
    </xf>
    <xf numFmtId="0" fontId="18" fillId="0" borderId="33" xfId="0" applyFont="1" applyBorder="1" applyAlignment="1">
      <alignment horizontal="centerContinuous"/>
    </xf>
    <xf numFmtId="0" fontId="12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4" fontId="9" fillId="0" borderId="32" xfId="0" applyNumberFormat="1" applyFont="1" applyBorder="1" applyAlignment="1">
      <alignment horizontal="centerContinuous"/>
    </xf>
    <xf numFmtId="0" fontId="9" fillId="0" borderId="33" xfId="0" applyFont="1" applyBorder="1" applyAlignment="1">
      <alignment horizontal="centerContinuous"/>
    </xf>
    <xf numFmtId="3" fontId="5" fillId="3" borderId="14" xfId="0" applyNumberFormat="1" applyFont="1" applyFill="1" applyBorder="1" applyAlignment="1" applyProtection="1">
      <alignment horizontal="center"/>
      <protection locked="0"/>
    </xf>
    <xf numFmtId="4" fontId="5" fillId="3" borderId="14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/>
    <xf numFmtId="3" fontId="26" fillId="4" borderId="31" xfId="0" applyNumberFormat="1" applyFont="1" applyFill="1" applyBorder="1" applyAlignment="1">
      <alignment horizontal="centerContinuous"/>
    </xf>
    <xf numFmtId="4" fontId="5" fillId="4" borderId="32" xfId="0" applyNumberFormat="1" applyFont="1" applyFill="1" applyBorder="1" applyAlignment="1">
      <alignment horizontal="centerContinuous"/>
    </xf>
    <xf numFmtId="0" fontId="5" fillId="4" borderId="32" xfId="0" applyFont="1" applyFill="1" applyBorder="1" applyAlignment="1">
      <alignment horizontal="centerContinuous"/>
    </xf>
    <xf numFmtId="0" fontId="5" fillId="4" borderId="33" xfId="0" applyFont="1" applyFill="1" applyBorder="1" applyAlignment="1">
      <alignment horizontal="centerContinuous"/>
    </xf>
    <xf numFmtId="0" fontId="19" fillId="0" borderId="31" xfId="0" applyFont="1" applyBorder="1" applyAlignment="1">
      <alignment horizontal="centerContinuous"/>
    </xf>
    <xf numFmtId="0" fontId="17" fillId="0" borderId="32" xfId="0" applyFont="1" applyBorder="1" applyAlignment="1">
      <alignment horizontal="centerContinuous"/>
    </xf>
    <xf numFmtId="4" fontId="17" fillId="0" borderId="32" xfId="0" applyNumberFormat="1" applyFont="1" applyBorder="1" applyAlignment="1">
      <alignment horizontal="centerContinuous"/>
    </xf>
    <xf numFmtId="0" fontId="17" fillId="0" borderId="33" xfId="0" applyFont="1" applyBorder="1" applyAlignment="1">
      <alignment horizontal="centerContinuous"/>
    </xf>
    <xf numFmtId="0" fontId="11" fillId="0" borderId="2" xfId="0" applyFont="1" applyBorder="1"/>
    <xf numFmtId="4" fontId="27" fillId="5" borderId="0" xfId="0" applyNumberFormat="1" applyFont="1" applyFill="1" applyProtection="1"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5" fillId="3" borderId="14" xfId="0" applyNumberFormat="1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25"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3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rgb="FF0000CC"/>
      </font>
      <fill>
        <patternFill>
          <bgColor rgb="FFFFFF0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FF0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499984740745262"/>
    <pageSetUpPr fitToPage="1"/>
  </sheetPr>
  <dimension ref="A1:N48"/>
  <sheetViews>
    <sheetView tabSelected="1" zoomScale="85" zoomScaleNormal="85" workbookViewId="0">
      <selection activeCell="A5" sqref="A5"/>
    </sheetView>
  </sheetViews>
  <sheetFormatPr defaultRowHeight="15" x14ac:dyDescent="0.25"/>
  <cols>
    <col min="1" max="1" width="28.140625" customWidth="1"/>
    <col min="2" max="2" width="9.28515625" style="3" bestFit="1" customWidth="1"/>
    <col min="3" max="3" width="14.5703125" style="3" bestFit="1" customWidth="1"/>
    <col min="4" max="4" width="15" style="3" bestFit="1" customWidth="1"/>
    <col min="5" max="5" width="14.140625" style="3" bestFit="1" customWidth="1"/>
    <col min="6" max="6" width="14.7109375" style="3" bestFit="1" customWidth="1"/>
    <col min="7" max="7" width="15" style="3" customWidth="1"/>
    <col min="8" max="8" width="11" customWidth="1"/>
    <col min="9" max="9" width="12.140625" bestFit="1" customWidth="1"/>
    <col min="10" max="10" width="15.28515625" customWidth="1"/>
    <col min="15" max="15" width="3.5703125" customWidth="1"/>
  </cols>
  <sheetData>
    <row r="1" spans="1:10" ht="21" thickTop="1" x14ac:dyDescent="0.3">
      <c r="A1" s="1"/>
      <c r="B1" s="120" t="s">
        <v>0</v>
      </c>
      <c r="C1" s="121"/>
      <c r="D1" s="121"/>
      <c r="E1" s="121"/>
      <c r="F1" s="121"/>
      <c r="G1" s="121"/>
      <c r="H1" s="121"/>
      <c r="I1" s="122"/>
      <c r="J1" s="123"/>
    </row>
    <row r="2" spans="1:10" ht="21" thickBot="1" x14ac:dyDescent="0.35">
      <c r="A2" s="2"/>
      <c r="B2" s="124" t="s">
        <v>1</v>
      </c>
      <c r="C2" s="125"/>
      <c r="D2" s="125"/>
      <c r="E2" s="125"/>
      <c r="F2" s="125"/>
      <c r="G2" s="125"/>
      <c r="H2" s="125"/>
      <c r="I2" s="126"/>
      <c r="J2" s="127"/>
    </row>
    <row r="3" spans="1:10" ht="15.75" thickTop="1" x14ac:dyDescent="0.25"/>
    <row r="4" spans="1:10" s="9" customFormat="1" ht="19.5" thickBot="1" x14ac:dyDescent="0.35">
      <c r="A4" s="4" t="s">
        <v>65</v>
      </c>
      <c r="B4" s="5"/>
      <c r="C4" s="6"/>
      <c r="D4" s="5"/>
      <c r="E4" s="5"/>
      <c r="F4" s="5"/>
      <c r="G4" s="5"/>
      <c r="H4" s="5"/>
      <c r="I4" s="7"/>
      <c r="J4" s="8"/>
    </row>
    <row r="5" spans="1:10" s="9" customFormat="1" ht="21" thickBot="1" x14ac:dyDescent="0.35">
      <c r="A5" s="68"/>
      <c r="B5" s="69"/>
      <c r="C5" s="10"/>
      <c r="D5" s="10"/>
      <c r="E5" s="10"/>
      <c r="F5" s="10"/>
      <c r="G5" s="10"/>
      <c r="H5" s="11" t="s">
        <v>2</v>
      </c>
      <c r="I5" s="12"/>
      <c r="J5" s="13">
        <f>IF(B10=25,J36,IF(B10=26,J37,J34))</f>
        <v>2.3835999999999996E-2</v>
      </c>
    </row>
    <row r="6" spans="1:10" s="9" customFormat="1" ht="18.75" x14ac:dyDescent="0.3"/>
    <row r="7" spans="1:10" s="9" customFormat="1" ht="18.75" x14ac:dyDescent="0.3">
      <c r="A7" s="15" t="s">
        <v>3</v>
      </c>
      <c r="B7" s="128"/>
      <c r="C7" s="129"/>
      <c r="D7" s="129"/>
      <c r="E7" s="10"/>
      <c r="F7" s="10"/>
      <c r="G7" s="10"/>
      <c r="H7" s="10"/>
      <c r="I7" s="10"/>
      <c r="J7" s="14"/>
    </row>
    <row r="8" spans="1:10" s="9" customFormat="1" ht="18.75" x14ac:dyDescent="0.3">
      <c r="A8" s="15" t="s">
        <v>63</v>
      </c>
      <c r="B8" s="130"/>
      <c r="C8" s="132"/>
      <c r="E8" s="16"/>
      <c r="F8" s="17" t="s">
        <v>4</v>
      </c>
      <c r="G8" s="18" t="s">
        <v>5</v>
      </c>
      <c r="H8" s="19"/>
      <c r="I8" s="19"/>
      <c r="J8" s="20"/>
    </row>
    <row r="9" spans="1:10" s="9" customFormat="1" ht="18.75" x14ac:dyDescent="0.3">
      <c r="A9" s="15" t="s">
        <v>6</v>
      </c>
      <c r="B9" s="130"/>
      <c r="C9" s="131"/>
      <c r="D9" s="16"/>
      <c r="E9" s="16"/>
      <c r="F9" s="16"/>
      <c r="G9" s="21" t="s">
        <v>7</v>
      </c>
      <c r="J9" s="22"/>
    </row>
    <row r="10" spans="1:10" s="9" customFormat="1" ht="18.75" x14ac:dyDescent="0.3">
      <c r="A10" s="15" t="s">
        <v>8</v>
      </c>
      <c r="B10" s="104"/>
      <c r="C10" s="16"/>
      <c r="G10" s="23" t="s">
        <v>9</v>
      </c>
      <c r="H10" s="24"/>
      <c r="I10" s="24"/>
      <c r="J10" s="25"/>
    </row>
    <row r="11" spans="1:10" s="9" customFormat="1" ht="19.5" thickBot="1" x14ac:dyDescent="0.35">
      <c r="A11" s="15" t="s">
        <v>10</v>
      </c>
      <c r="B11" s="105"/>
      <c r="C11" s="26"/>
      <c r="D11" s="16"/>
      <c r="E11" s="16"/>
      <c r="F11" s="16"/>
      <c r="G11" s="16"/>
    </row>
    <row r="12" spans="1:10" s="9" customFormat="1" ht="21" thickTop="1" thickBot="1" x14ac:dyDescent="0.4">
      <c r="A12" s="15" t="s">
        <v>11</v>
      </c>
      <c r="B12" s="117"/>
      <c r="C12" s="107" t="str">
        <f>IF(B10=25,"CITY OF GROVETOWN TAXES ARE INCLUDED IN THIS ESTIMATE!",IF(B10=26,"CITY OF HARLEM TAXES ARE INCLUDED IN THIS ESTIMATE!","ALL OTHER DISTRICTS"))</f>
        <v>ALL OTHER DISTRICTS</v>
      </c>
      <c r="D12" s="108"/>
      <c r="E12" s="108"/>
      <c r="F12" s="108"/>
      <c r="G12" s="108"/>
      <c r="H12" s="109"/>
      <c r="I12" s="109"/>
      <c r="J12" s="110"/>
    </row>
    <row r="13" spans="1:10" s="27" customFormat="1" ht="13.5" thickTop="1" x14ac:dyDescent="0.2"/>
    <row r="14" spans="1:10" ht="28.5" x14ac:dyDescent="0.25">
      <c r="A14" s="28"/>
      <c r="B14" s="29"/>
      <c r="C14" s="30" t="s">
        <v>12</v>
      </c>
      <c r="D14" s="30" t="s">
        <v>13</v>
      </c>
      <c r="E14" s="30" t="s">
        <v>14</v>
      </c>
      <c r="F14" s="30" t="s">
        <v>15</v>
      </c>
      <c r="G14" s="30" t="s">
        <v>16</v>
      </c>
      <c r="H14" s="30" t="s">
        <v>17</v>
      </c>
      <c r="I14" s="30" t="s">
        <v>18</v>
      </c>
      <c r="J14" s="30" t="s">
        <v>19</v>
      </c>
    </row>
    <row r="15" spans="1:10" x14ac:dyDescent="0.25">
      <c r="A15" s="28"/>
      <c r="B15" s="29"/>
      <c r="C15" s="31"/>
      <c r="D15" s="31"/>
      <c r="E15" s="31"/>
      <c r="F15" s="31"/>
      <c r="G15" s="31"/>
      <c r="H15" s="32"/>
      <c r="I15" s="33"/>
      <c r="J15" s="33"/>
    </row>
    <row r="16" spans="1:10" x14ac:dyDescent="0.25">
      <c r="A16" s="34" t="s">
        <v>20</v>
      </c>
      <c r="B16" s="29"/>
      <c r="C16" s="31">
        <f>B8</f>
        <v>0</v>
      </c>
      <c r="D16" s="31">
        <f>IF(B10=25,0,IF(B10=26,0,B8))</f>
        <v>0</v>
      </c>
      <c r="E16" s="31">
        <f>B8</f>
        <v>0</v>
      </c>
      <c r="F16" s="31">
        <f>B8</f>
        <v>0</v>
      </c>
      <c r="G16" s="31">
        <f>B8</f>
        <v>0</v>
      </c>
      <c r="H16" s="31">
        <f>IF($B$10=25,B8,IF($B$10=26,B8,0))</f>
        <v>0</v>
      </c>
      <c r="I16" s="35"/>
      <c r="J16" s="35"/>
    </row>
    <row r="17" spans="1:10" x14ac:dyDescent="0.25">
      <c r="A17" s="34" t="s">
        <v>21</v>
      </c>
      <c r="B17" s="29"/>
      <c r="C17" s="36">
        <f>IF($B$11="",0,IF($B$11="SG",C16*1,VLOOKUP($B$11,EXEMPTIONS,2,FALSE)))</f>
        <v>0</v>
      </c>
      <c r="D17" s="36">
        <f>IF($B$10=25,0,IF($B$10=26,0,IF($B$11="",0,IF($B$11="SG",D16*1,VLOOKUP($B$11,EXEMPTIONS,3,FALSE)))))</f>
        <v>0</v>
      </c>
      <c r="E17" s="36">
        <f>IF($B$11="",0,IF($B$11="SG",E16*1,VLOOKUP($B$11,EXEMPTIONS,4,FALSE)))</f>
        <v>0</v>
      </c>
      <c r="F17" s="36">
        <f>IF($B$11="",0,IF($B$11="SG",F16*1,VLOOKUP($B$11,EXEMPTIONS,5,FALSE)))</f>
        <v>0</v>
      </c>
      <c r="G17" s="36">
        <f>IF($B$11="",0,IF($B$11="SG",G16*1,VLOOKUP($B$11,EXEMPTIONS,6,FALSE)))</f>
        <v>0</v>
      </c>
      <c r="H17" s="36">
        <f>IF($B$11="",0,IF($H$16=0,0,IF($B$11="SG",H16*1,VLOOKUP($B$11,EXEMPTIONS,7,FALSE))))</f>
        <v>0</v>
      </c>
      <c r="I17" s="35"/>
      <c r="J17" s="35"/>
    </row>
    <row r="18" spans="1:10" x14ac:dyDescent="0.25">
      <c r="A18" s="34" t="s">
        <v>22</v>
      </c>
      <c r="B18" s="29"/>
      <c r="C18" s="31">
        <f t="shared" ref="C18:H18" si="0">IF(C16-C17&lt;=0,0,C16-C17)</f>
        <v>0</v>
      </c>
      <c r="D18" s="31">
        <f t="shared" si="0"/>
        <v>0</v>
      </c>
      <c r="E18" s="31">
        <f t="shared" si="0"/>
        <v>0</v>
      </c>
      <c r="F18" s="31">
        <f t="shared" si="0"/>
        <v>0</v>
      </c>
      <c r="G18" s="31">
        <f t="shared" si="0"/>
        <v>0</v>
      </c>
      <c r="H18" s="31">
        <f t="shared" si="0"/>
        <v>0</v>
      </c>
      <c r="I18" s="35"/>
      <c r="J18" s="35"/>
    </row>
    <row r="19" spans="1:10" x14ac:dyDescent="0.25">
      <c r="A19" s="34" t="s">
        <v>23</v>
      </c>
      <c r="B19" s="29"/>
      <c r="C19" s="38" t="e">
        <f>VLOOKUP($B$10,MILLRATES,2,FALSE)</f>
        <v>#N/A</v>
      </c>
      <c r="D19" s="38" t="e">
        <f>IF($B$10=25,0,IF($B$10=26,0,VLOOKUP($B$10,MILLRATES,4,FALSE)))</f>
        <v>#N/A</v>
      </c>
      <c r="E19" s="38" t="e">
        <f>VLOOKUP($B$10,MILLRATES,5,FALSE)</f>
        <v>#N/A</v>
      </c>
      <c r="F19" s="38" t="e">
        <f>VLOOKUP($B$10,MILLRATES,6,FALSE)</f>
        <v>#N/A</v>
      </c>
      <c r="G19" s="38" t="e">
        <f>VLOOKUP($B$10,MILLRATES,7,FALSE)</f>
        <v>#N/A</v>
      </c>
      <c r="H19" s="38" t="e">
        <f>VLOOKUP($B$10,MILLRATES,8,FALSE)</f>
        <v>#N/A</v>
      </c>
      <c r="I19" s="35"/>
      <c r="J19" s="35"/>
    </row>
    <row r="20" spans="1:10" ht="15.75" thickBot="1" x14ac:dyDescent="0.3">
      <c r="A20" s="39" t="s">
        <v>24</v>
      </c>
      <c r="B20" s="40"/>
      <c r="C20" s="41" t="e">
        <f t="shared" ref="C20:H20" si="1">ROUND(C18*C19,2)</f>
        <v>#N/A</v>
      </c>
      <c r="D20" s="41" t="e">
        <f t="shared" si="1"/>
        <v>#N/A</v>
      </c>
      <c r="E20" s="41" t="e">
        <f t="shared" si="1"/>
        <v>#N/A</v>
      </c>
      <c r="F20" s="41" t="e">
        <f t="shared" si="1"/>
        <v>#N/A</v>
      </c>
      <c r="G20" s="41" t="e">
        <f t="shared" si="1"/>
        <v>#N/A</v>
      </c>
      <c r="H20" s="41" t="e">
        <f t="shared" si="1"/>
        <v>#N/A</v>
      </c>
      <c r="I20" s="35"/>
      <c r="J20" s="35"/>
    </row>
    <row r="21" spans="1:10" ht="15.75" thickTop="1" x14ac:dyDescent="0.25">
      <c r="A21" s="34"/>
      <c r="B21" s="29"/>
      <c r="C21" s="31"/>
      <c r="D21" s="31"/>
      <c r="E21" s="31"/>
      <c r="F21" s="31"/>
      <c r="G21" s="31"/>
      <c r="H21" s="31"/>
      <c r="I21" s="35"/>
      <c r="J21" s="35"/>
    </row>
    <row r="22" spans="1:10" x14ac:dyDescent="0.25">
      <c r="A22" s="34" t="s">
        <v>25</v>
      </c>
      <c r="B22" s="29"/>
      <c r="C22" s="31">
        <f>+C18</f>
        <v>0</v>
      </c>
      <c r="D22" s="31"/>
      <c r="E22" s="31"/>
      <c r="F22" s="31"/>
      <c r="G22" s="31"/>
      <c r="H22" s="31">
        <f>+H18</f>
        <v>0</v>
      </c>
      <c r="I22" s="35"/>
      <c r="J22" s="35"/>
    </row>
    <row r="23" spans="1:10" x14ac:dyDescent="0.25">
      <c r="A23" s="34" t="s">
        <v>26</v>
      </c>
      <c r="B23" s="42"/>
      <c r="C23" s="38" t="e">
        <f>VLOOKUP($B$10,MILLRATES,3,FALSE)</f>
        <v>#N/A</v>
      </c>
      <c r="D23" s="37"/>
      <c r="E23" s="43"/>
      <c r="F23" s="43"/>
      <c r="G23" s="43"/>
      <c r="H23" s="38" t="e">
        <f>VLOOKUP($B$10,MILLRATES,9,FALSE)</f>
        <v>#N/A</v>
      </c>
      <c r="I23" s="35"/>
      <c r="J23" s="35"/>
    </row>
    <row r="24" spans="1:10" ht="15.75" thickBot="1" x14ac:dyDescent="0.3">
      <c r="A24" s="39" t="s">
        <v>27</v>
      </c>
      <c r="B24" s="40"/>
      <c r="C24" s="41" t="e">
        <f>ROUND(C22*C23,2)</f>
        <v>#N/A</v>
      </c>
      <c r="D24" s="41"/>
      <c r="E24" s="41"/>
      <c r="F24" s="41"/>
      <c r="G24" s="41"/>
      <c r="H24" s="41" t="e">
        <f>ROUND(H22*H23,2)</f>
        <v>#N/A</v>
      </c>
      <c r="I24" s="35"/>
      <c r="J24" s="35"/>
    </row>
    <row r="25" spans="1:10" ht="15.75" thickTop="1" x14ac:dyDescent="0.25">
      <c r="A25" s="34"/>
      <c r="B25" s="29"/>
      <c r="C25" s="31"/>
      <c r="D25" s="31"/>
      <c r="E25" s="31"/>
      <c r="F25" s="31"/>
      <c r="G25" s="31"/>
      <c r="H25" s="32"/>
      <c r="I25" s="44"/>
      <c r="J25" s="45"/>
    </row>
    <row r="26" spans="1:10" ht="29.25" thickBot="1" x14ac:dyDescent="0.3">
      <c r="A26" s="46" t="s">
        <v>28</v>
      </c>
      <c r="B26" s="47"/>
      <c r="C26" s="48" t="e">
        <f>C20+C24</f>
        <v>#N/A</v>
      </c>
      <c r="D26" s="48" t="e">
        <f>ROUND(+D20+D24,2)</f>
        <v>#N/A</v>
      </c>
      <c r="E26" s="48" t="e">
        <f>ROUND(+E20,2)</f>
        <v>#N/A</v>
      </c>
      <c r="F26" s="48" t="e">
        <f>ROUND(+F20,2)</f>
        <v>#N/A</v>
      </c>
      <c r="G26" s="48" t="e">
        <f>ROUND(+G20,2)</f>
        <v>#N/A</v>
      </c>
      <c r="H26" s="48" t="e">
        <f>ROUND(+H20+H24,2)</f>
        <v>#N/A</v>
      </c>
      <c r="I26" s="49">
        <f>IF(AND(B10=26,B12="Y"),45,IF(B12="Y",60,0))</f>
        <v>0</v>
      </c>
      <c r="J26" s="50" t="e">
        <f>SUM(C26:I26)</f>
        <v>#N/A</v>
      </c>
    </row>
    <row r="27" spans="1:10" ht="21" thickTop="1" x14ac:dyDescent="0.3">
      <c r="A27" s="51"/>
      <c r="B27" s="52"/>
      <c r="C27" s="52"/>
      <c r="D27" s="52"/>
      <c r="E27" s="52"/>
      <c r="F27" s="52"/>
      <c r="G27" s="52"/>
      <c r="H27" s="115"/>
      <c r="I27" s="118"/>
      <c r="J27" s="119"/>
    </row>
    <row r="28" spans="1:10" ht="15.75" x14ac:dyDescent="0.25">
      <c r="A28" s="53" t="s">
        <v>29</v>
      </c>
      <c r="B28" s="54"/>
      <c r="C28" s="54"/>
      <c r="D28" s="54"/>
      <c r="E28" s="54"/>
      <c r="F28" s="54"/>
      <c r="G28" s="54"/>
      <c r="H28" s="55"/>
      <c r="I28" s="55"/>
      <c r="J28" s="56"/>
    </row>
    <row r="30" spans="1:10" ht="29.25" customHeight="1" x14ac:dyDescent="0.25">
      <c r="A30" s="57" t="s">
        <v>30</v>
      </c>
      <c r="B30" s="57" t="s">
        <v>31</v>
      </c>
      <c r="C30" s="57" t="s">
        <v>32</v>
      </c>
      <c r="D30" s="57" t="s">
        <v>13</v>
      </c>
      <c r="E30" s="57" t="s">
        <v>14</v>
      </c>
      <c r="F30" s="57" t="s">
        <v>15</v>
      </c>
      <c r="G30" s="57" t="s">
        <v>16</v>
      </c>
      <c r="H30" s="57" t="s">
        <v>33</v>
      </c>
      <c r="I30" s="57" t="s">
        <v>34</v>
      </c>
      <c r="J30" s="57" t="s">
        <v>19</v>
      </c>
    </row>
    <row r="31" spans="1:10" x14ac:dyDescent="0.25">
      <c r="B31"/>
      <c r="E31"/>
      <c r="F31"/>
      <c r="G31"/>
    </row>
    <row r="32" spans="1:10" x14ac:dyDescent="0.25">
      <c r="A32" s="106">
        <v>21</v>
      </c>
      <c r="B32" s="60">
        <v>7.7390000000000002E-3</v>
      </c>
      <c r="C32" s="61">
        <v>-3.3790000000000001E-3</v>
      </c>
      <c r="D32" s="61">
        <v>2.7880000000000001E-3</v>
      </c>
      <c r="E32" s="60">
        <v>4.5399999999999998E-4</v>
      </c>
      <c r="F32" s="59">
        <v>1.6233999999999998E-2</v>
      </c>
      <c r="G32" s="59">
        <v>0</v>
      </c>
      <c r="H32" s="59">
        <v>0</v>
      </c>
      <c r="I32" s="59">
        <v>0</v>
      </c>
      <c r="J32" s="60">
        <f t="shared" ref="J32:J37" si="2">SUM(B32:I32)</f>
        <v>2.3835999999999996E-2</v>
      </c>
    </row>
    <row r="33" spans="1:14" x14ac:dyDescent="0.25">
      <c r="A33" s="106">
        <v>22</v>
      </c>
      <c r="B33" s="60">
        <v>7.7390000000000002E-3</v>
      </c>
      <c r="C33" s="61">
        <v>-3.3790000000000001E-3</v>
      </c>
      <c r="D33" s="61">
        <v>2.7880000000000001E-3</v>
      </c>
      <c r="E33" s="60">
        <v>4.5399999999999998E-4</v>
      </c>
      <c r="F33" s="59">
        <v>1.6233999999999998E-2</v>
      </c>
      <c r="G33" s="59">
        <v>0</v>
      </c>
      <c r="H33" s="59">
        <v>0</v>
      </c>
      <c r="I33" s="59">
        <v>0</v>
      </c>
      <c r="J33" s="60">
        <f t="shared" si="2"/>
        <v>2.3835999999999996E-2</v>
      </c>
    </row>
    <row r="34" spans="1:14" s="58" customFormat="1" x14ac:dyDescent="0.25">
      <c r="A34" s="106">
        <v>23</v>
      </c>
      <c r="B34" s="60">
        <v>7.7390000000000002E-3</v>
      </c>
      <c r="C34" s="61">
        <v>-3.3790000000000001E-3</v>
      </c>
      <c r="D34" s="61">
        <v>2.7880000000000001E-3</v>
      </c>
      <c r="E34" s="60">
        <v>4.5399999999999998E-4</v>
      </c>
      <c r="F34" s="59">
        <v>1.6233999999999998E-2</v>
      </c>
      <c r="G34" s="59">
        <v>0</v>
      </c>
      <c r="H34" s="59">
        <v>0</v>
      </c>
      <c r="I34" s="59">
        <v>0</v>
      </c>
      <c r="J34" s="60">
        <f t="shared" si="2"/>
        <v>2.3835999999999996E-2</v>
      </c>
    </row>
    <row r="35" spans="1:14" ht="14.25" customHeight="1" x14ac:dyDescent="0.3">
      <c r="A35" s="106">
        <v>24</v>
      </c>
      <c r="B35" s="60">
        <v>7.7390000000000002E-3</v>
      </c>
      <c r="C35" s="61">
        <v>-3.3790000000000001E-3</v>
      </c>
      <c r="D35" s="61">
        <v>2.7880000000000001E-3</v>
      </c>
      <c r="E35" s="60">
        <v>4.5399999999999998E-4</v>
      </c>
      <c r="F35" s="59">
        <v>1.6233999999999998E-2</v>
      </c>
      <c r="G35" s="59">
        <v>0</v>
      </c>
      <c r="H35" s="59">
        <v>0</v>
      </c>
      <c r="I35" s="59">
        <v>0</v>
      </c>
      <c r="J35" s="60">
        <f t="shared" si="2"/>
        <v>2.3835999999999996E-2</v>
      </c>
      <c r="N35" s="95" t="s">
        <v>44</v>
      </c>
    </row>
    <row r="36" spans="1:14" ht="15" customHeight="1" x14ac:dyDescent="0.3">
      <c r="A36" s="106">
        <v>25</v>
      </c>
      <c r="B36" s="60">
        <v>7.7390000000000002E-3</v>
      </c>
      <c r="C36" s="61">
        <v>-3.3790000000000001E-3</v>
      </c>
      <c r="D36" s="61">
        <v>0</v>
      </c>
      <c r="E36" s="60">
        <v>4.5399999999999998E-4</v>
      </c>
      <c r="F36" s="59">
        <v>1.6233999999999998E-2</v>
      </c>
      <c r="G36" s="59">
        <v>0</v>
      </c>
      <c r="H36" s="60">
        <v>1.3303000000000001E-2</v>
      </c>
      <c r="I36" s="60">
        <v>-6.3550000000000004E-3</v>
      </c>
      <c r="J36" s="60">
        <f t="shared" si="2"/>
        <v>2.7996E-2</v>
      </c>
      <c r="N36" s="95" t="s">
        <v>62</v>
      </c>
    </row>
    <row r="37" spans="1:14" x14ac:dyDescent="0.25">
      <c r="A37" s="106">
        <v>26</v>
      </c>
      <c r="B37" s="60">
        <v>7.7390000000000002E-3</v>
      </c>
      <c r="C37" s="61">
        <v>-3.3790000000000001E-3</v>
      </c>
      <c r="D37" s="61">
        <v>0</v>
      </c>
      <c r="E37" s="60">
        <v>4.5399999999999998E-4</v>
      </c>
      <c r="F37" s="59">
        <v>1.6233999999999998E-2</v>
      </c>
      <c r="G37" s="59">
        <v>0</v>
      </c>
      <c r="H37" s="60">
        <v>1.465E-2</v>
      </c>
      <c r="I37" s="59">
        <v>-5.3E-3</v>
      </c>
      <c r="J37" s="60">
        <f t="shared" si="2"/>
        <v>3.0397999999999994E-2</v>
      </c>
    </row>
    <row r="38" spans="1:14" x14ac:dyDescent="0.25">
      <c r="E38" s="59"/>
    </row>
    <row r="39" spans="1:14" ht="15.75" x14ac:dyDescent="0.25">
      <c r="A39" s="62" t="s">
        <v>35</v>
      </c>
      <c r="B39" s="54"/>
      <c r="C39" s="54"/>
      <c r="D39" s="54"/>
      <c r="E39" s="54"/>
      <c r="F39" s="54"/>
      <c r="G39" s="54"/>
      <c r="H39" s="55"/>
      <c r="I39" s="55"/>
      <c r="J39" s="56"/>
    </row>
    <row r="40" spans="1:14" ht="15.75" x14ac:dyDescent="0.25">
      <c r="A40" s="63"/>
    </row>
    <row r="41" spans="1:14" ht="26.25" x14ac:dyDescent="0.25">
      <c r="A41" s="64"/>
      <c r="C41" s="65" t="s">
        <v>36</v>
      </c>
      <c r="D41" s="57" t="s">
        <v>12</v>
      </c>
      <c r="E41" s="57" t="s">
        <v>13</v>
      </c>
      <c r="F41" s="57" t="s">
        <v>14</v>
      </c>
      <c r="G41" s="57" t="s">
        <v>15</v>
      </c>
      <c r="H41" s="57" t="s">
        <v>16</v>
      </c>
      <c r="I41" s="57" t="s">
        <v>37</v>
      </c>
    </row>
    <row r="42" spans="1:14" x14ac:dyDescent="0.25">
      <c r="C42" s="65"/>
      <c r="D42" s="57"/>
      <c r="E42" s="57"/>
      <c r="F42" s="57"/>
      <c r="G42" s="57"/>
      <c r="H42" s="57"/>
    </row>
    <row r="43" spans="1:14" x14ac:dyDescent="0.25">
      <c r="C43" s="66" t="s">
        <v>38</v>
      </c>
      <c r="D43" s="3">
        <v>2000</v>
      </c>
      <c r="E43" s="3">
        <v>2000</v>
      </c>
      <c r="F43" s="3">
        <v>0</v>
      </c>
      <c r="G43" s="3">
        <v>2000</v>
      </c>
      <c r="H43" s="3">
        <v>0</v>
      </c>
      <c r="I43" s="3">
        <v>0</v>
      </c>
    </row>
    <row r="44" spans="1:14" x14ac:dyDescent="0.25">
      <c r="C44" s="66" t="s">
        <v>39</v>
      </c>
      <c r="D44" s="3">
        <v>121812</v>
      </c>
      <c r="E44" s="3">
        <v>121812</v>
      </c>
      <c r="F44" s="3">
        <v>121812</v>
      </c>
      <c r="G44" s="3">
        <v>121812</v>
      </c>
      <c r="H44" s="3">
        <v>121812</v>
      </c>
      <c r="I44" s="3">
        <v>121812</v>
      </c>
    </row>
    <row r="45" spans="1:14" x14ac:dyDescent="0.25">
      <c r="C45" s="66" t="s">
        <v>40</v>
      </c>
      <c r="D45" s="3">
        <v>121812</v>
      </c>
      <c r="E45" s="3">
        <v>121812</v>
      </c>
      <c r="F45" s="3">
        <v>121812</v>
      </c>
      <c r="G45" s="3">
        <v>121812</v>
      </c>
      <c r="H45" s="3">
        <v>121812</v>
      </c>
      <c r="I45" s="3">
        <v>121812</v>
      </c>
    </row>
    <row r="46" spans="1:14" x14ac:dyDescent="0.25">
      <c r="C46" s="66" t="s">
        <v>41</v>
      </c>
      <c r="D46" s="3">
        <v>40000</v>
      </c>
      <c r="E46" s="3">
        <v>40000</v>
      </c>
      <c r="F46" s="3">
        <v>40000</v>
      </c>
      <c r="G46" s="3">
        <v>40000</v>
      </c>
      <c r="H46" s="3">
        <v>40000</v>
      </c>
      <c r="I46" s="3">
        <v>0</v>
      </c>
    </row>
    <row r="47" spans="1:14" x14ac:dyDescent="0.25">
      <c r="C47" s="66" t="s">
        <v>42</v>
      </c>
      <c r="D47" s="3">
        <v>40000</v>
      </c>
      <c r="E47" s="3">
        <v>40000</v>
      </c>
      <c r="F47" s="3">
        <v>40000</v>
      </c>
      <c r="G47" s="3">
        <v>40000</v>
      </c>
      <c r="H47" s="3">
        <v>40000</v>
      </c>
      <c r="I47" s="3">
        <v>0</v>
      </c>
    </row>
    <row r="48" spans="1:14" x14ac:dyDescent="0.25">
      <c r="C48" s="67" t="s">
        <v>43</v>
      </c>
      <c r="D48" s="3">
        <v>2000</v>
      </c>
      <c r="E48" s="3">
        <v>2000</v>
      </c>
      <c r="F48" s="3">
        <v>0</v>
      </c>
      <c r="G48" s="116"/>
      <c r="H48" s="116"/>
      <c r="I48" s="3">
        <v>0</v>
      </c>
    </row>
  </sheetData>
  <sheetProtection sheet="1" objects="1" scenarios="1"/>
  <mergeCells count="8">
    <mergeCell ref="I27:J27"/>
    <mergeCell ref="B1:H1"/>
    <mergeCell ref="I1:J1"/>
    <mergeCell ref="B2:H2"/>
    <mergeCell ref="I2:J2"/>
    <mergeCell ref="B7:D7"/>
    <mergeCell ref="B9:C9"/>
    <mergeCell ref="B8:C8"/>
  </mergeCells>
  <conditionalFormatting sqref="C12:J12">
    <cfRule type="expression" dxfId="24" priority="1">
      <formula>$B$10&lt;25</formula>
    </cfRule>
    <cfRule type="expression" dxfId="23" priority="2">
      <formula>$B$10=26</formula>
    </cfRule>
    <cfRule type="expression" dxfId="22" priority="3">
      <formula>$B$10=25</formula>
    </cfRule>
  </conditionalFormatting>
  <dataValidations count="3">
    <dataValidation type="list" allowBlank="1" showInputMessage="1" showErrorMessage="1" sqref="B10" xr:uid="{00000000-0002-0000-0000-000000000000}">
      <formula1>$A$32:$A$37</formula1>
    </dataValidation>
    <dataValidation type="list" allowBlank="1" showInputMessage="1" showErrorMessage="1" sqref="B12" xr:uid="{00000000-0002-0000-0000-000001000000}">
      <formula1>$N$35:$N$36</formula1>
    </dataValidation>
    <dataValidation type="list" allowBlank="1" showInputMessage="1" showErrorMessage="1" sqref="B11" xr:uid="{00000000-0002-0000-0000-000002000000}">
      <formula1>$C$43:$C$48</formula1>
    </dataValidation>
  </dataValidations>
  <pageMargins left="0" right="0" top="0.75" bottom="0" header="0.3" footer="0.3"/>
  <pageSetup scale="91" orientation="landscape" r:id="rId1"/>
  <ignoredErrors>
    <ignoredError sqref="C20" formula="1"/>
    <ignoredError sqref="F18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N47"/>
  <sheetViews>
    <sheetView workbookViewId="0">
      <selection activeCell="A3" sqref="A3"/>
    </sheetView>
  </sheetViews>
  <sheetFormatPr defaultRowHeight="12.75" x14ac:dyDescent="0.2"/>
  <cols>
    <col min="1" max="1" width="27.28515625" style="70" bestFit="1" customWidth="1"/>
    <col min="2" max="2" width="2.28515625" style="70" bestFit="1" customWidth="1"/>
    <col min="3" max="5" width="9.85546875" style="71" customWidth="1"/>
    <col min="6" max="8" width="9.85546875" style="70" customWidth="1"/>
    <col min="9" max="9" width="9.140625" style="70"/>
    <col min="10" max="10" width="4" style="70" bestFit="1" customWidth="1"/>
    <col min="11" max="11" width="1.85546875" style="70" bestFit="1" customWidth="1"/>
    <col min="12" max="12" width="9.140625" style="70"/>
    <col min="13" max="13" width="4" style="70" bestFit="1" customWidth="1"/>
    <col min="14" max="14" width="3" style="77" customWidth="1"/>
    <col min="15" max="16384" width="9.140625" style="70"/>
  </cols>
  <sheetData>
    <row r="1" spans="1:13" ht="15.75" thickTop="1" x14ac:dyDescent="0.25">
      <c r="A1" s="83" t="s">
        <v>0</v>
      </c>
      <c r="B1" s="84"/>
      <c r="C1" s="85"/>
      <c r="D1" s="85"/>
      <c r="E1" s="85"/>
      <c r="F1" s="84"/>
      <c r="G1" s="84"/>
      <c r="H1" s="86"/>
      <c r="L1" s="91"/>
      <c r="M1"/>
    </row>
    <row r="2" spans="1:13" ht="15" x14ac:dyDescent="0.25">
      <c r="A2" s="87" t="s">
        <v>1</v>
      </c>
      <c r="B2" s="88"/>
      <c r="C2" s="89"/>
      <c r="D2" s="89"/>
      <c r="E2" s="89"/>
      <c r="F2" s="88"/>
      <c r="G2" s="88"/>
      <c r="H2" s="90"/>
      <c r="L2" s="91"/>
      <c r="M2"/>
    </row>
    <row r="3" spans="1:13" ht="13.5" thickBot="1" x14ac:dyDescent="0.25">
      <c r="A3" s="87" t="s">
        <v>64</v>
      </c>
      <c r="B3" s="88"/>
      <c r="C3" s="89"/>
      <c r="D3" s="89"/>
      <c r="E3" s="89"/>
      <c r="F3" s="88"/>
      <c r="G3" s="88"/>
      <c r="H3" s="90"/>
    </row>
    <row r="4" spans="1:13" ht="14.25" thickTop="1" thickBot="1" x14ac:dyDescent="0.25">
      <c r="A4" s="100" t="s">
        <v>53</v>
      </c>
      <c r="B4" s="101"/>
      <c r="C4" s="102"/>
      <c r="D4" s="102"/>
      <c r="E4" s="102"/>
      <c r="F4" s="101"/>
      <c r="G4" s="101"/>
      <c r="H4" s="103"/>
    </row>
    <row r="5" spans="1:13" ht="13.5" thickTop="1" x14ac:dyDescent="0.2">
      <c r="A5" s="91"/>
      <c r="C5" s="79"/>
    </row>
    <row r="6" spans="1:13" x14ac:dyDescent="0.2">
      <c r="C6" s="81" t="s">
        <v>38</v>
      </c>
      <c r="D6" s="81" t="s">
        <v>39</v>
      </c>
      <c r="E6" s="81" t="s">
        <v>40</v>
      </c>
      <c r="F6" s="82" t="s">
        <v>41</v>
      </c>
      <c r="G6" s="82" t="s">
        <v>42</v>
      </c>
      <c r="H6" s="82" t="s">
        <v>43</v>
      </c>
    </row>
    <row r="7" spans="1:13" ht="13.5" x14ac:dyDescent="0.2">
      <c r="A7" s="73" t="s">
        <v>12</v>
      </c>
      <c r="J7" s="71" t="s">
        <v>38</v>
      </c>
      <c r="K7" s="77">
        <f>IF(AND('Main Tax Calculation Wksh'!$B$10=25,'Main Tax Calculation Wksh'!$B$11="S1"),1,0)</f>
        <v>0</v>
      </c>
    </row>
    <row r="8" spans="1:13" x14ac:dyDescent="0.2">
      <c r="A8" s="93" t="s">
        <v>45</v>
      </c>
      <c r="C8" s="71">
        <f>IF('Main Tax Calculation Wksh'!$B$10=25,'Main Tax Calculation Wksh'!$B$8,0)</f>
        <v>0</v>
      </c>
      <c r="D8" s="71">
        <f t="shared" ref="D8:H8" si="0">$C$8</f>
        <v>0</v>
      </c>
      <c r="E8" s="71">
        <f t="shared" si="0"/>
        <v>0</v>
      </c>
      <c r="F8" s="71">
        <f t="shared" si="0"/>
        <v>0</v>
      </c>
      <c r="G8" s="71">
        <f t="shared" si="0"/>
        <v>0</v>
      </c>
      <c r="H8" s="71">
        <f t="shared" si="0"/>
        <v>0</v>
      </c>
      <c r="J8" s="71" t="s">
        <v>39</v>
      </c>
      <c r="K8" s="77">
        <f>IF(AND('Main Tax Calculation Wksh'!$B$10=25,'Main Tax Calculation Wksh'!$B$11="S5"),1,0)</f>
        <v>0</v>
      </c>
    </row>
    <row r="9" spans="1:13" x14ac:dyDescent="0.2">
      <c r="A9" s="93" t="s">
        <v>46</v>
      </c>
      <c r="B9" s="78" t="s">
        <v>52</v>
      </c>
      <c r="C9" s="72">
        <f>'Main Tax Calculation Wksh'!D43</f>
        <v>2000</v>
      </c>
      <c r="D9" s="72">
        <f>'Main Tax Calculation Wksh'!D44</f>
        <v>121812</v>
      </c>
      <c r="E9" s="72">
        <f>'Main Tax Calculation Wksh'!D45</f>
        <v>121812</v>
      </c>
      <c r="F9" s="72">
        <f>'Main Tax Calculation Wksh'!D46</f>
        <v>40000</v>
      </c>
      <c r="G9" s="72">
        <f>'Main Tax Calculation Wksh'!D47</f>
        <v>40000</v>
      </c>
      <c r="H9" s="72">
        <f>'Main Tax Calculation Wksh'!D48</f>
        <v>2000</v>
      </c>
      <c r="J9" s="71" t="s">
        <v>40</v>
      </c>
      <c r="K9" s="77">
        <f>IF(AND('Main Tax Calculation Wksh'!$B$10=25,'Main Tax Calculation Wksh'!$B$11="SS"),1,0)</f>
        <v>0</v>
      </c>
    </row>
    <row r="10" spans="1:13" x14ac:dyDescent="0.2">
      <c r="A10" s="93" t="s">
        <v>47</v>
      </c>
      <c r="C10" s="71">
        <f>C8-C9</f>
        <v>-2000</v>
      </c>
      <c r="D10" s="71">
        <f t="shared" ref="D10:H10" si="1">D8-D9</f>
        <v>-121812</v>
      </c>
      <c r="E10" s="71">
        <f t="shared" si="1"/>
        <v>-121812</v>
      </c>
      <c r="F10" s="71">
        <f t="shared" si="1"/>
        <v>-40000</v>
      </c>
      <c r="G10" s="71">
        <f t="shared" si="1"/>
        <v>-40000</v>
      </c>
      <c r="H10" s="71">
        <f t="shared" si="1"/>
        <v>-2000</v>
      </c>
      <c r="J10" s="70" t="s">
        <v>41</v>
      </c>
      <c r="K10" s="77">
        <f>IF(AND('Main Tax Calculation Wksh'!$B$10=25,'Main Tax Calculation Wksh'!$B$11="L3"),1,0)</f>
        <v>0</v>
      </c>
    </row>
    <row r="11" spans="1:13" x14ac:dyDescent="0.2">
      <c r="A11" s="93" t="s">
        <v>48</v>
      </c>
      <c r="B11" s="77" t="s">
        <v>50</v>
      </c>
      <c r="C11" s="76">
        <f>SUM('Main Tax Calculation Wksh'!B36:C36)</f>
        <v>4.3600000000000002E-3</v>
      </c>
      <c r="D11" s="76">
        <f t="shared" ref="D11:H11" si="2">$C$11</f>
        <v>4.3600000000000002E-3</v>
      </c>
      <c r="E11" s="76">
        <f t="shared" si="2"/>
        <v>4.3600000000000002E-3</v>
      </c>
      <c r="F11" s="76">
        <f t="shared" si="2"/>
        <v>4.3600000000000002E-3</v>
      </c>
      <c r="G11" s="76">
        <f t="shared" si="2"/>
        <v>4.3600000000000002E-3</v>
      </c>
      <c r="H11" s="76">
        <f t="shared" si="2"/>
        <v>4.3600000000000002E-3</v>
      </c>
      <c r="J11" s="70" t="s">
        <v>42</v>
      </c>
      <c r="K11" s="77">
        <f>IF(AND('Main Tax Calculation Wksh'!$B$10=25,'Main Tax Calculation Wksh'!$B$11="L5"),1,0)</f>
        <v>0</v>
      </c>
    </row>
    <row r="12" spans="1:13" ht="13.5" x14ac:dyDescent="0.2">
      <c r="A12" s="92" t="s">
        <v>49</v>
      </c>
      <c r="B12" s="78" t="s">
        <v>51</v>
      </c>
      <c r="C12" s="80">
        <f>IF(C10*C11&lt;0,0,ROUND(C10*C11,2))</f>
        <v>0</v>
      </c>
      <c r="D12" s="80">
        <f t="shared" ref="D12:H12" si="3">IF(D10*D11&lt;0,0,D10*D11)</f>
        <v>0</v>
      </c>
      <c r="E12" s="80">
        <f t="shared" si="3"/>
        <v>0</v>
      </c>
      <c r="F12" s="80">
        <f t="shared" si="3"/>
        <v>0</v>
      </c>
      <c r="G12" s="80">
        <f t="shared" si="3"/>
        <v>0</v>
      </c>
      <c r="H12" s="80">
        <f t="shared" si="3"/>
        <v>0</v>
      </c>
      <c r="J12" s="70" t="s">
        <v>43</v>
      </c>
      <c r="K12" s="77">
        <f>IF(AND('Main Tax Calculation Wksh'!$B$10=25,'Main Tax Calculation Wksh'!$B$11="L6"),1,0)</f>
        <v>0</v>
      </c>
    </row>
    <row r="13" spans="1:13" x14ac:dyDescent="0.2">
      <c r="A13" s="74"/>
    </row>
    <row r="14" spans="1:13" ht="13.5" x14ac:dyDescent="0.2">
      <c r="A14" s="73" t="s">
        <v>14</v>
      </c>
    </row>
    <row r="15" spans="1:13" x14ac:dyDescent="0.2">
      <c r="A15" s="93" t="s">
        <v>45</v>
      </c>
      <c r="C15" s="71">
        <f>IF('Main Tax Calculation Wksh'!$B$10=25,'Main Tax Calculation Wksh'!$B$8,0)</f>
        <v>0</v>
      </c>
      <c r="D15" s="71">
        <f t="shared" ref="D15:H15" si="4">$C$15</f>
        <v>0</v>
      </c>
      <c r="E15" s="71">
        <f t="shared" si="4"/>
        <v>0</v>
      </c>
      <c r="F15" s="71">
        <f t="shared" si="4"/>
        <v>0</v>
      </c>
      <c r="G15" s="71">
        <f t="shared" si="4"/>
        <v>0</v>
      </c>
      <c r="H15" s="71">
        <f t="shared" si="4"/>
        <v>0</v>
      </c>
    </row>
    <row r="16" spans="1:13" x14ac:dyDescent="0.2">
      <c r="A16" s="93" t="s">
        <v>46</v>
      </c>
      <c r="B16" s="78" t="s">
        <v>52</v>
      </c>
      <c r="C16" s="72">
        <f>'Main Tax Calculation Wksh'!F43</f>
        <v>0</v>
      </c>
      <c r="D16" s="72">
        <f>'Main Tax Calculation Wksh'!F44</f>
        <v>121812</v>
      </c>
      <c r="E16" s="72">
        <f>'Main Tax Calculation Wksh'!F45</f>
        <v>121812</v>
      </c>
      <c r="F16" s="72">
        <f>'Main Tax Calculation Wksh'!F46</f>
        <v>40000</v>
      </c>
      <c r="G16" s="72">
        <f>'Main Tax Calculation Wksh'!F47</f>
        <v>40000</v>
      </c>
      <c r="H16" s="72">
        <f>'Main Tax Calculation Wksh'!F48</f>
        <v>0</v>
      </c>
    </row>
    <row r="17" spans="1:8" x14ac:dyDescent="0.2">
      <c r="A17" s="93" t="s">
        <v>47</v>
      </c>
      <c r="C17" s="71">
        <f>C15-C16</f>
        <v>0</v>
      </c>
      <c r="D17" s="71">
        <f t="shared" ref="D17:H17" si="5">D15-D16</f>
        <v>-121812</v>
      </c>
      <c r="E17" s="71">
        <f t="shared" si="5"/>
        <v>-121812</v>
      </c>
      <c r="F17" s="71">
        <f t="shared" si="5"/>
        <v>-40000</v>
      </c>
      <c r="G17" s="71">
        <f t="shared" si="5"/>
        <v>-40000</v>
      </c>
      <c r="H17" s="71">
        <f t="shared" si="5"/>
        <v>0</v>
      </c>
    </row>
    <row r="18" spans="1:8" x14ac:dyDescent="0.2">
      <c r="A18" s="93" t="s">
        <v>48</v>
      </c>
      <c r="B18" s="77" t="s">
        <v>50</v>
      </c>
      <c r="C18" s="76">
        <f>'Main Tax Calculation Wksh'!E36</f>
        <v>4.5399999999999998E-4</v>
      </c>
      <c r="D18" s="76">
        <f t="shared" ref="D18:H18" si="6">$C$18</f>
        <v>4.5399999999999998E-4</v>
      </c>
      <c r="E18" s="76">
        <f t="shared" si="6"/>
        <v>4.5399999999999998E-4</v>
      </c>
      <c r="F18" s="76">
        <f t="shared" si="6"/>
        <v>4.5399999999999998E-4</v>
      </c>
      <c r="G18" s="76">
        <f t="shared" si="6"/>
        <v>4.5399999999999998E-4</v>
      </c>
      <c r="H18" s="76">
        <f t="shared" si="6"/>
        <v>4.5399999999999998E-4</v>
      </c>
    </row>
    <row r="19" spans="1:8" ht="13.5" x14ac:dyDescent="0.2">
      <c r="A19" s="92" t="s">
        <v>54</v>
      </c>
      <c r="B19" s="78" t="s">
        <v>51</v>
      </c>
      <c r="C19" s="80">
        <f>IF(C17*C18&lt;0,0,ROUND(C17*C18,2))</f>
        <v>0</v>
      </c>
      <c r="D19" s="80">
        <f t="shared" ref="D19:H19" si="7">IF(D17*D18&lt;0,0,D17*D18)</f>
        <v>0</v>
      </c>
      <c r="E19" s="80">
        <f t="shared" si="7"/>
        <v>0</v>
      </c>
      <c r="F19" s="80">
        <f t="shared" si="7"/>
        <v>0</v>
      </c>
      <c r="G19" s="80">
        <f t="shared" si="7"/>
        <v>0</v>
      </c>
      <c r="H19" s="80">
        <f t="shared" si="7"/>
        <v>0</v>
      </c>
    </row>
    <row r="20" spans="1:8" x14ac:dyDescent="0.2">
      <c r="A20" s="75"/>
    </row>
    <row r="21" spans="1:8" ht="13.5" x14ac:dyDescent="0.2">
      <c r="A21" s="73" t="s">
        <v>15</v>
      </c>
      <c r="C21" s="70"/>
      <c r="F21" s="58"/>
    </row>
    <row r="22" spans="1:8" x14ac:dyDescent="0.2">
      <c r="A22" s="93" t="s">
        <v>45</v>
      </c>
      <c r="C22" s="71">
        <f>IF('Main Tax Calculation Wksh'!$B$10=25,'Main Tax Calculation Wksh'!$B$8,0)</f>
        <v>0</v>
      </c>
      <c r="D22" s="71">
        <f t="shared" ref="D22:H22" si="8">$C$22</f>
        <v>0</v>
      </c>
      <c r="E22" s="71">
        <f t="shared" si="8"/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</row>
    <row r="23" spans="1:8" x14ac:dyDescent="0.2">
      <c r="A23" s="93" t="s">
        <v>46</v>
      </c>
      <c r="B23" s="78" t="s">
        <v>52</v>
      </c>
      <c r="C23" s="72">
        <f>'Main Tax Calculation Wksh'!G43</f>
        <v>2000</v>
      </c>
      <c r="D23" s="72">
        <f>'Main Tax Calculation Wksh'!G44</f>
        <v>121812</v>
      </c>
      <c r="E23" s="72">
        <f>'Main Tax Calculation Wksh'!G45</f>
        <v>121812</v>
      </c>
      <c r="F23" s="72">
        <f>'Main Tax Calculation Wksh'!G46</f>
        <v>40000</v>
      </c>
      <c r="G23" s="72">
        <f>'Main Tax Calculation Wksh'!G47</f>
        <v>40000</v>
      </c>
      <c r="H23" s="72">
        <f>'Main Tax Calculation Wksh'!G48</f>
        <v>0</v>
      </c>
    </row>
    <row r="24" spans="1:8" x14ac:dyDescent="0.2">
      <c r="A24" s="93" t="s">
        <v>47</v>
      </c>
      <c r="C24" s="71">
        <f>C22-C23</f>
        <v>-2000</v>
      </c>
      <c r="D24" s="71">
        <f t="shared" ref="D24:H24" si="9">D22-D23</f>
        <v>-121812</v>
      </c>
      <c r="E24" s="71">
        <f t="shared" si="9"/>
        <v>-121812</v>
      </c>
      <c r="F24" s="71">
        <f t="shared" si="9"/>
        <v>-40000</v>
      </c>
      <c r="G24" s="71">
        <f t="shared" si="9"/>
        <v>-40000</v>
      </c>
      <c r="H24" s="71">
        <f t="shared" si="9"/>
        <v>0</v>
      </c>
    </row>
    <row r="25" spans="1:8" x14ac:dyDescent="0.2">
      <c r="A25" s="93" t="s">
        <v>48</v>
      </c>
      <c r="B25" s="77" t="s">
        <v>50</v>
      </c>
      <c r="C25" s="76">
        <f>'Main Tax Calculation Wksh'!F36</f>
        <v>1.6233999999999998E-2</v>
      </c>
      <c r="D25" s="76">
        <f t="shared" ref="D25:H25" si="10">$C$25</f>
        <v>1.6233999999999998E-2</v>
      </c>
      <c r="E25" s="76">
        <f t="shared" si="10"/>
        <v>1.6233999999999998E-2</v>
      </c>
      <c r="F25" s="76">
        <f t="shared" si="10"/>
        <v>1.6233999999999998E-2</v>
      </c>
      <c r="G25" s="76">
        <f t="shared" si="10"/>
        <v>1.6233999999999998E-2</v>
      </c>
      <c r="H25" s="76">
        <f t="shared" si="10"/>
        <v>1.6233999999999998E-2</v>
      </c>
    </row>
    <row r="26" spans="1:8" ht="13.5" x14ac:dyDescent="0.2">
      <c r="A26" s="92" t="s">
        <v>55</v>
      </c>
      <c r="B26" s="78" t="s">
        <v>51</v>
      </c>
      <c r="C26" s="80">
        <f>IF(C24*C25&lt;0,0,ROUND(C24*C25,2))</f>
        <v>0</v>
      </c>
      <c r="D26" s="80">
        <f t="shared" ref="D26:H26" si="11">IF(D24*D25&lt;0,0,D24*D25)</f>
        <v>0</v>
      </c>
      <c r="E26" s="80">
        <f t="shared" si="11"/>
        <v>0</v>
      </c>
      <c r="F26" s="80">
        <f t="shared" si="11"/>
        <v>0</v>
      </c>
      <c r="G26" s="80">
        <f t="shared" si="11"/>
        <v>0</v>
      </c>
      <c r="H26" s="80">
        <f t="shared" si="11"/>
        <v>0</v>
      </c>
    </row>
    <row r="27" spans="1:8" x14ac:dyDescent="0.2">
      <c r="F27" s="58"/>
    </row>
    <row r="28" spans="1:8" ht="13.5" x14ac:dyDescent="0.2">
      <c r="A28" s="73" t="s">
        <v>16</v>
      </c>
      <c r="F28" s="58"/>
    </row>
    <row r="29" spans="1:8" x14ac:dyDescent="0.2">
      <c r="A29" s="93" t="s">
        <v>45</v>
      </c>
      <c r="C29" s="71">
        <f>IF('Main Tax Calculation Wksh'!$B$10=25,'Main Tax Calculation Wksh'!$B$8,0)</f>
        <v>0</v>
      </c>
      <c r="D29" s="71">
        <f t="shared" ref="D29:H29" si="12">$C$29</f>
        <v>0</v>
      </c>
      <c r="E29" s="71">
        <f t="shared" si="12"/>
        <v>0</v>
      </c>
      <c r="F29" s="71">
        <f t="shared" si="12"/>
        <v>0</v>
      </c>
      <c r="G29" s="71">
        <f t="shared" si="12"/>
        <v>0</v>
      </c>
      <c r="H29" s="71">
        <f t="shared" si="12"/>
        <v>0</v>
      </c>
    </row>
    <row r="30" spans="1:8" x14ac:dyDescent="0.2">
      <c r="A30" s="93" t="s">
        <v>46</v>
      </c>
      <c r="B30" s="78" t="s">
        <v>52</v>
      </c>
      <c r="C30" s="72">
        <f>'Main Tax Calculation Wksh'!H43</f>
        <v>0</v>
      </c>
      <c r="D30" s="72">
        <f>'Main Tax Calculation Wksh'!H44</f>
        <v>121812</v>
      </c>
      <c r="E30" s="72">
        <f>'Main Tax Calculation Wksh'!H45</f>
        <v>121812</v>
      </c>
      <c r="F30" s="72">
        <f>'Main Tax Calculation Wksh'!H46</f>
        <v>40000</v>
      </c>
      <c r="G30" s="72">
        <f>'Main Tax Calculation Wksh'!H47</f>
        <v>40000</v>
      </c>
      <c r="H30" s="72">
        <f>'Main Tax Calculation Wksh'!H48</f>
        <v>0</v>
      </c>
    </row>
    <row r="31" spans="1:8" x14ac:dyDescent="0.2">
      <c r="A31" s="93" t="s">
        <v>47</v>
      </c>
      <c r="C31" s="71">
        <f>C29-C30</f>
        <v>0</v>
      </c>
      <c r="D31" s="71">
        <f t="shared" ref="D31:H31" si="13">D29-D30</f>
        <v>-121812</v>
      </c>
      <c r="E31" s="71">
        <f t="shared" si="13"/>
        <v>-121812</v>
      </c>
      <c r="F31" s="71">
        <f t="shared" si="13"/>
        <v>-40000</v>
      </c>
      <c r="G31" s="71">
        <f t="shared" si="13"/>
        <v>-40000</v>
      </c>
      <c r="H31" s="71">
        <f t="shared" si="13"/>
        <v>0</v>
      </c>
    </row>
    <row r="32" spans="1:8" x14ac:dyDescent="0.2">
      <c r="A32" s="93" t="s">
        <v>48</v>
      </c>
      <c r="B32" s="77" t="s">
        <v>50</v>
      </c>
      <c r="C32" s="76">
        <f>'Main Tax Calculation Wksh'!G36</f>
        <v>0</v>
      </c>
      <c r="D32" s="76">
        <f t="shared" ref="D32:H32" si="14">$C$32</f>
        <v>0</v>
      </c>
      <c r="E32" s="76">
        <f t="shared" si="14"/>
        <v>0</v>
      </c>
      <c r="F32" s="76">
        <f t="shared" si="14"/>
        <v>0</v>
      </c>
      <c r="G32" s="76">
        <f t="shared" si="14"/>
        <v>0</v>
      </c>
      <c r="H32" s="76">
        <f t="shared" si="14"/>
        <v>0</v>
      </c>
    </row>
    <row r="33" spans="1:8" ht="13.5" x14ac:dyDescent="0.2">
      <c r="A33" s="92" t="s">
        <v>56</v>
      </c>
      <c r="B33" s="78" t="s">
        <v>51</v>
      </c>
      <c r="C33" s="80">
        <f>IF(C31*C32&lt;0,0,ROUND(C31*C32,2))</f>
        <v>0</v>
      </c>
      <c r="D33" s="80">
        <f t="shared" ref="D33:H33" si="15">D31*D32</f>
        <v>0</v>
      </c>
      <c r="E33" s="80">
        <f t="shared" si="15"/>
        <v>0</v>
      </c>
      <c r="F33" s="80">
        <f t="shared" si="15"/>
        <v>0</v>
      </c>
      <c r="G33" s="80">
        <f t="shared" si="15"/>
        <v>0</v>
      </c>
      <c r="H33" s="80">
        <f t="shared" si="15"/>
        <v>0</v>
      </c>
    </row>
    <row r="34" spans="1:8" x14ac:dyDescent="0.2">
      <c r="A34" s="75"/>
    </row>
    <row r="35" spans="1:8" ht="13.5" x14ac:dyDescent="0.2">
      <c r="A35" s="73" t="s">
        <v>17</v>
      </c>
    </row>
    <row r="36" spans="1:8" x14ac:dyDescent="0.2">
      <c r="A36" s="93" t="s">
        <v>45</v>
      </c>
      <c r="C36" s="71">
        <f>IF('Main Tax Calculation Wksh'!$B$10=25,'Main Tax Calculation Wksh'!$B$8,0)</f>
        <v>0</v>
      </c>
      <c r="D36" s="71">
        <f t="shared" ref="D36:H36" si="16">$C$36</f>
        <v>0</v>
      </c>
      <c r="E36" s="71">
        <f t="shared" si="16"/>
        <v>0</v>
      </c>
      <c r="F36" s="71">
        <f t="shared" si="16"/>
        <v>0</v>
      </c>
      <c r="G36" s="71">
        <f t="shared" si="16"/>
        <v>0</v>
      </c>
      <c r="H36" s="71">
        <f t="shared" si="16"/>
        <v>0</v>
      </c>
    </row>
    <row r="37" spans="1:8" x14ac:dyDescent="0.2">
      <c r="A37" s="93" t="s">
        <v>46</v>
      </c>
      <c r="B37" s="78" t="s">
        <v>52</v>
      </c>
      <c r="C37" s="72">
        <f>'Main Tax Calculation Wksh'!I43</f>
        <v>0</v>
      </c>
      <c r="D37" s="72">
        <f>'Main Tax Calculation Wksh'!I44</f>
        <v>121812</v>
      </c>
      <c r="E37" s="72">
        <f>'Main Tax Calculation Wksh'!I45</f>
        <v>121812</v>
      </c>
      <c r="F37" s="72">
        <f>'Main Tax Calculation Wksh'!I46</f>
        <v>0</v>
      </c>
      <c r="G37" s="72">
        <f>'Main Tax Calculation Wksh'!I47</f>
        <v>0</v>
      </c>
      <c r="H37" s="72">
        <f>'Main Tax Calculation Wksh'!I48</f>
        <v>0</v>
      </c>
    </row>
    <row r="38" spans="1:8" x14ac:dyDescent="0.2">
      <c r="A38" s="93" t="s">
        <v>47</v>
      </c>
      <c r="C38" s="71">
        <f>C36-C37</f>
        <v>0</v>
      </c>
      <c r="D38" s="71">
        <f t="shared" ref="D38:H38" si="17">D36-D37</f>
        <v>-121812</v>
      </c>
      <c r="E38" s="71">
        <f t="shared" si="17"/>
        <v>-121812</v>
      </c>
      <c r="F38" s="71">
        <f t="shared" si="17"/>
        <v>0</v>
      </c>
      <c r="G38" s="71">
        <f t="shared" si="17"/>
        <v>0</v>
      </c>
      <c r="H38" s="71">
        <f t="shared" si="17"/>
        <v>0</v>
      </c>
    </row>
    <row r="39" spans="1:8" x14ac:dyDescent="0.2">
      <c r="A39" s="93" t="s">
        <v>48</v>
      </c>
      <c r="B39" s="77" t="s">
        <v>50</v>
      </c>
      <c r="C39" s="76">
        <f>SUM('Main Tax Calculation Wksh'!H36:I36)</f>
        <v>6.9480000000000002E-3</v>
      </c>
      <c r="D39" s="76">
        <f t="shared" ref="D39:H39" si="18">$C$39</f>
        <v>6.9480000000000002E-3</v>
      </c>
      <c r="E39" s="76">
        <f t="shared" si="18"/>
        <v>6.9480000000000002E-3</v>
      </c>
      <c r="F39" s="76">
        <f t="shared" si="18"/>
        <v>6.9480000000000002E-3</v>
      </c>
      <c r="G39" s="76">
        <f t="shared" si="18"/>
        <v>6.9480000000000002E-3</v>
      </c>
      <c r="H39" s="76">
        <f t="shared" si="18"/>
        <v>6.9480000000000002E-3</v>
      </c>
    </row>
    <row r="40" spans="1:8" ht="13.5" x14ac:dyDescent="0.2">
      <c r="A40" s="92" t="s">
        <v>57</v>
      </c>
      <c r="B40" s="78" t="s">
        <v>51</v>
      </c>
      <c r="C40" s="80">
        <f>IF(C38*C39&lt;0,0,ROUND(C38*C39,2))</f>
        <v>0</v>
      </c>
      <c r="D40" s="80">
        <f t="shared" ref="D40:H40" si="19">IF(D38*D39&lt;0,0,D38*D39)</f>
        <v>0</v>
      </c>
      <c r="E40" s="80">
        <f t="shared" si="19"/>
        <v>0</v>
      </c>
      <c r="F40" s="80">
        <f t="shared" si="19"/>
        <v>0</v>
      </c>
      <c r="G40" s="80">
        <f t="shared" si="19"/>
        <v>0</v>
      </c>
      <c r="H40" s="80">
        <f t="shared" si="19"/>
        <v>0</v>
      </c>
    </row>
    <row r="42" spans="1:8" ht="13.5" x14ac:dyDescent="0.2">
      <c r="A42" s="92" t="s">
        <v>18</v>
      </c>
      <c r="C42" s="80">
        <f>IF(AND('Main Tax Calculation Wksh'!$B$10=25,'Main Tax Calculation Wksh'!$B$12="Y"),60,0)</f>
        <v>0</v>
      </c>
      <c r="D42" s="80">
        <f t="shared" ref="D42:H42" si="20">$C$42</f>
        <v>0</v>
      </c>
      <c r="E42" s="80">
        <f t="shared" si="20"/>
        <v>0</v>
      </c>
      <c r="F42" s="80">
        <f t="shared" si="20"/>
        <v>0</v>
      </c>
      <c r="G42" s="80">
        <f t="shared" si="20"/>
        <v>0</v>
      </c>
      <c r="H42" s="80">
        <f t="shared" si="20"/>
        <v>0</v>
      </c>
    </row>
    <row r="43" spans="1:8" x14ac:dyDescent="0.2">
      <c r="A43" s="75"/>
    </row>
    <row r="44" spans="1:8" ht="13.5" x14ac:dyDescent="0.2">
      <c r="A44" s="94" t="s">
        <v>58</v>
      </c>
      <c r="C44" s="80">
        <f>C$12+C$19+C$26+C$33+C$40+C$42</f>
        <v>0</v>
      </c>
      <c r="D44" s="80">
        <f t="shared" ref="D44:H44" si="21">D$12+D$19+D$26+D$33+D$40+D$42</f>
        <v>0</v>
      </c>
      <c r="E44" s="80">
        <f t="shared" si="21"/>
        <v>0</v>
      </c>
      <c r="F44" s="80">
        <f t="shared" si="21"/>
        <v>0</v>
      </c>
      <c r="G44" s="80">
        <f t="shared" si="21"/>
        <v>0</v>
      </c>
      <c r="H44" s="80">
        <f t="shared" si="21"/>
        <v>0</v>
      </c>
    </row>
    <row r="45" spans="1:8" x14ac:dyDescent="0.2"/>
    <row r="47" spans="1:8" x14ac:dyDescent="0.2">
      <c r="A47" s="75"/>
    </row>
  </sheetData>
  <sheetProtection sheet="1" objects="1" scenarios="1"/>
  <conditionalFormatting sqref="A4:H4">
    <cfRule type="expression" dxfId="21" priority="85">
      <formula>#REF!&gt;0</formula>
    </cfRule>
  </conditionalFormatting>
  <conditionalFormatting sqref="C6:C44">
    <cfRule type="expression" dxfId="20" priority="86">
      <formula>$K$7=1</formula>
    </cfRule>
  </conditionalFormatting>
  <conditionalFormatting sqref="D6:D44">
    <cfRule type="expression" dxfId="19" priority="91">
      <formula>$K$8=1</formula>
    </cfRule>
  </conditionalFormatting>
  <conditionalFormatting sqref="E6:E44">
    <cfRule type="expression" dxfId="18" priority="93">
      <formula>$K$9=1</formula>
    </cfRule>
  </conditionalFormatting>
  <conditionalFormatting sqref="F6:F44">
    <cfRule type="expression" dxfId="17" priority="94">
      <formula>$K$10=1</formula>
    </cfRule>
  </conditionalFormatting>
  <conditionalFormatting sqref="G6:G44">
    <cfRule type="expression" dxfId="16" priority="95">
      <formula>$K$11=1</formula>
    </cfRule>
  </conditionalFormatting>
  <conditionalFormatting sqref="H6:H44">
    <cfRule type="expression" dxfId="15" priority="96">
      <formula>$K$12=1</formula>
    </cfRule>
  </conditionalFormatting>
  <printOptions horizontalCentered="1" verticalCentered="1"/>
  <pageMargins left="0" right="0" top="0" bottom="0" header="0" footer="0"/>
  <pageSetup scale="7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K47"/>
  <sheetViews>
    <sheetView workbookViewId="0">
      <selection activeCell="A4" sqref="A4"/>
    </sheetView>
  </sheetViews>
  <sheetFormatPr defaultRowHeight="12.75" x14ac:dyDescent="0.2"/>
  <cols>
    <col min="1" max="1" width="27.28515625" style="70" bestFit="1" customWidth="1"/>
    <col min="2" max="2" width="2.28515625" style="70" bestFit="1" customWidth="1"/>
    <col min="3" max="5" width="9.85546875" style="71" customWidth="1"/>
    <col min="6" max="8" width="9.85546875" style="70" customWidth="1"/>
    <col min="9" max="9" width="9.140625" style="70"/>
    <col min="10" max="10" width="4" style="70" bestFit="1" customWidth="1"/>
    <col min="11" max="11" width="1.85546875" style="70" bestFit="1" customWidth="1"/>
    <col min="12" max="12" width="9.140625" style="70"/>
    <col min="13" max="13" width="3.85546875" style="70" customWidth="1"/>
    <col min="14" max="14" width="3.140625" style="70" customWidth="1"/>
    <col min="15" max="16384" width="9.140625" style="70"/>
  </cols>
  <sheetData>
    <row r="1" spans="1:11" ht="15.75" thickTop="1" x14ac:dyDescent="0.25">
      <c r="A1" s="83" t="s">
        <v>0</v>
      </c>
      <c r="B1" s="84"/>
      <c r="C1" s="85"/>
      <c r="D1" s="85"/>
      <c r="E1" s="85"/>
      <c r="F1" s="84"/>
      <c r="G1" s="84"/>
      <c r="H1" s="86"/>
      <c r="I1"/>
      <c r="J1"/>
      <c r="K1"/>
    </row>
    <row r="2" spans="1:11" ht="15" x14ac:dyDescent="0.25">
      <c r="A2" s="87" t="s">
        <v>1</v>
      </c>
      <c r="B2" s="88"/>
      <c r="C2" s="89"/>
      <c r="D2" s="89"/>
      <c r="E2" s="89"/>
      <c r="F2" s="88"/>
      <c r="G2" s="88"/>
      <c r="H2" s="90"/>
      <c r="J2"/>
      <c r="K2"/>
    </row>
    <row r="3" spans="1:11" ht="13.5" thickBot="1" x14ac:dyDescent="0.25">
      <c r="A3" s="87" t="s">
        <v>64</v>
      </c>
      <c r="B3" s="88"/>
      <c r="C3" s="89"/>
      <c r="D3" s="89"/>
      <c r="E3" s="89"/>
      <c r="F3" s="88"/>
      <c r="G3" s="88"/>
      <c r="H3" s="90"/>
    </row>
    <row r="4" spans="1:11" ht="15" thickTop="1" thickBot="1" x14ac:dyDescent="0.3">
      <c r="A4" s="96" t="s">
        <v>60</v>
      </c>
      <c r="B4" s="97"/>
      <c r="C4" s="98"/>
      <c r="D4" s="98"/>
      <c r="E4" s="98"/>
      <c r="F4" s="97"/>
      <c r="G4" s="97"/>
      <c r="H4" s="99"/>
    </row>
    <row r="5" spans="1:11" ht="13.5" thickTop="1" x14ac:dyDescent="0.2">
      <c r="A5" s="91"/>
      <c r="C5" s="79"/>
    </row>
    <row r="6" spans="1:11" x14ac:dyDescent="0.2">
      <c r="C6" s="81" t="s">
        <v>38</v>
      </c>
      <c r="D6" s="81" t="s">
        <v>39</v>
      </c>
      <c r="E6" s="81" t="s">
        <v>40</v>
      </c>
      <c r="F6" s="82" t="s">
        <v>41</v>
      </c>
      <c r="G6" s="82" t="s">
        <v>42</v>
      </c>
      <c r="H6" s="82" t="s">
        <v>43</v>
      </c>
    </row>
    <row r="7" spans="1:11" ht="13.5" x14ac:dyDescent="0.2">
      <c r="A7" s="73" t="s">
        <v>12</v>
      </c>
      <c r="J7" s="71" t="s">
        <v>38</v>
      </c>
      <c r="K7" s="77">
        <f>IF(AND('Main Tax Calculation Wksh'!$B$10=26,'Main Tax Calculation Wksh'!$B$11="S1"),1,0)</f>
        <v>0</v>
      </c>
    </row>
    <row r="8" spans="1:11" x14ac:dyDescent="0.2">
      <c r="A8" s="93" t="s">
        <v>45</v>
      </c>
      <c r="C8" s="71">
        <f>IF('Main Tax Calculation Wksh'!$B$10=26,'Main Tax Calculation Wksh'!$B$8,0)</f>
        <v>0</v>
      </c>
      <c r="D8" s="71">
        <f t="shared" ref="D8:H8" si="0">$C$8</f>
        <v>0</v>
      </c>
      <c r="E8" s="71">
        <f t="shared" si="0"/>
        <v>0</v>
      </c>
      <c r="F8" s="71">
        <f t="shared" si="0"/>
        <v>0</v>
      </c>
      <c r="G8" s="71">
        <f t="shared" si="0"/>
        <v>0</v>
      </c>
      <c r="H8" s="71">
        <f t="shared" si="0"/>
        <v>0</v>
      </c>
      <c r="J8" s="71" t="s">
        <v>39</v>
      </c>
      <c r="K8" s="77">
        <f>IF(AND('Main Tax Calculation Wksh'!$B$10=26,'Main Tax Calculation Wksh'!$B$11="S5"),1,0)</f>
        <v>0</v>
      </c>
    </row>
    <row r="9" spans="1:11" x14ac:dyDescent="0.2">
      <c r="A9" s="93" t="s">
        <v>46</v>
      </c>
      <c r="B9" s="78" t="s">
        <v>52</v>
      </c>
      <c r="C9" s="72">
        <f>'Main Tax Calculation Wksh'!D43</f>
        <v>2000</v>
      </c>
      <c r="D9" s="72">
        <f>'Main Tax Calculation Wksh'!D44</f>
        <v>121812</v>
      </c>
      <c r="E9" s="72">
        <f>'Main Tax Calculation Wksh'!D45</f>
        <v>121812</v>
      </c>
      <c r="F9" s="72">
        <f>'Main Tax Calculation Wksh'!D46</f>
        <v>40000</v>
      </c>
      <c r="G9" s="72">
        <f>'Main Tax Calculation Wksh'!D47</f>
        <v>40000</v>
      </c>
      <c r="H9" s="72">
        <f>'Main Tax Calculation Wksh'!D48</f>
        <v>2000</v>
      </c>
      <c r="J9" s="71" t="s">
        <v>40</v>
      </c>
      <c r="K9" s="77">
        <f>IF(AND('Main Tax Calculation Wksh'!$B$10=26,'Main Tax Calculation Wksh'!$B$11="SS"),1,0)</f>
        <v>0</v>
      </c>
    </row>
    <row r="10" spans="1:11" x14ac:dyDescent="0.2">
      <c r="A10" s="93" t="s">
        <v>47</v>
      </c>
      <c r="C10" s="71">
        <f>C8-C9</f>
        <v>-2000</v>
      </c>
      <c r="D10" s="71">
        <f t="shared" ref="D10:H10" si="1">D8-D9</f>
        <v>-121812</v>
      </c>
      <c r="E10" s="71">
        <f t="shared" si="1"/>
        <v>-121812</v>
      </c>
      <c r="F10" s="71">
        <f t="shared" si="1"/>
        <v>-40000</v>
      </c>
      <c r="G10" s="71">
        <f t="shared" si="1"/>
        <v>-40000</v>
      </c>
      <c r="H10" s="71">
        <f t="shared" si="1"/>
        <v>-2000</v>
      </c>
      <c r="J10" s="70" t="s">
        <v>41</v>
      </c>
      <c r="K10" s="77">
        <f>IF(AND('Main Tax Calculation Wksh'!$B$10=26,'Main Tax Calculation Wksh'!$B$11="L3"),1,0)</f>
        <v>0</v>
      </c>
    </row>
    <row r="11" spans="1:11" x14ac:dyDescent="0.2">
      <c r="A11" s="93" t="s">
        <v>48</v>
      </c>
      <c r="B11" s="77" t="s">
        <v>50</v>
      </c>
      <c r="C11" s="76">
        <f>SUM('Main Tax Calculation Wksh'!B37:C37)</f>
        <v>4.3600000000000002E-3</v>
      </c>
      <c r="D11" s="76">
        <f t="shared" ref="D11:H11" si="2">$C$11</f>
        <v>4.3600000000000002E-3</v>
      </c>
      <c r="E11" s="76">
        <f t="shared" si="2"/>
        <v>4.3600000000000002E-3</v>
      </c>
      <c r="F11" s="76">
        <f t="shared" si="2"/>
        <v>4.3600000000000002E-3</v>
      </c>
      <c r="G11" s="76">
        <f t="shared" si="2"/>
        <v>4.3600000000000002E-3</v>
      </c>
      <c r="H11" s="76">
        <f t="shared" si="2"/>
        <v>4.3600000000000002E-3</v>
      </c>
      <c r="J11" s="70" t="s">
        <v>42</v>
      </c>
      <c r="K11" s="77">
        <f>IF(AND('Main Tax Calculation Wksh'!$B$10=26,'Main Tax Calculation Wksh'!$B$11="L5"),1,0)</f>
        <v>0</v>
      </c>
    </row>
    <row r="12" spans="1:11" ht="13.5" x14ac:dyDescent="0.2">
      <c r="A12" s="92" t="s">
        <v>49</v>
      </c>
      <c r="B12" s="78" t="s">
        <v>51</v>
      </c>
      <c r="C12" s="80">
        <f>IF(C10*C11&lt;0,0,C10*C11)</f>
        <v>0</v>
      </c>
      <c r="D12" s="80">
        <f t="shared" ref="D12:H12" si="3">IF(D10*D11&lt;0,0,D10*D11)</f>
        <v>0</v>
      </c>
      <c r="E12" s="80">
        <f t="shared" si="3"/>
        <v>0</v>
      </c>
      <c r="F12" s="80">
        <f t="shared" si="3"/>
        <v>0</v>
      </c>
      <c r="G12" s="80">
        <f t="shared" si="3"/>
        <v>0</v>
      </c>
      <c r="H12" s="80">
        <f t="shared" si="3"/>
        <v>0</v>
      </c>
      <c r="J12" s="70" t="s">
        <v>43</v>
      </c>
      <c r="K12" s="77">
        <f>IF(AND('Main Tax Calculation Wksh'!$B$10=26,'Main Tax Calculation Wksh'!$B$11="L6"),1,0)</f>
        <v>0</v>
      </c>
    </row>
    <row r="13" spans="1:11" x14ac:dyDescent="0.2">
      <c r="A13" s="74"/>
    </row>
    <row r="14" spans="1:11" ht="13.5" x14ac:dyDescent="0.2">
      <c r="A14" s="73" t="s">
        <v>14</v>
      </c>
    </row>
    <row r="15" spans="1:11" x14ac:dyDescent="0.2">
      <c r="A15" s="93" t="s">
        <v>45</v>
      </c>
      <c r="C15" s="71">
        <f>IF('Main Tax Calculation Wksh'!$B$10=26,'Main Tax Calculation Wksh'!$B$8,0)</f>
        <v>0</v>
      </c>
      <c r="D15" s="71">
        <f t="shared" ref="D15:H15" si="4">$C$15</f>
        <v>0</v>
      </c>
      <c r="E15" s="71">
        <f t="shared" si="4"/>
        <v>0</v>
      </c>
      <c r="F15" s="71">
        <f t="shared" si="4"/>
        <v>0</v>
      </c>
      <c r="G15" s="71">
        <f t="shared" si="4"/>
        <v>0</v>
      </c>
      <c r="H15" s="71">
        <f t="shared" si="4"/>
        <v>0</v>
      </c>
    </row>
    <row r="16" spans="1:11" x14ac:dyDescent="0.2">
      <c r="A16" s="93" t="s">
        <v>46</v>
      </c>
      <c r="B16" s="78" t="s">
        <v>52</v>
      </c>
      <c r="C16" s="72">
        <f>'Main Tax Calculation Wksh'!F43</f>
        <v>0</v>
      </c>
      <c r="D16" s="72">
        <f>'Main Tax Calculation Wksh'!F44</f>
        <v>121812</v>
      </c>
      <c r="E16" s="72">
        <f>'Main Tax Calculation Wksh'!F45</f>
        <v>121812</v>
      </c>
      <c r="F16" s="72">
        <f>'Main Tax Calculation Wksh'!F46</f>
        <v>40000</v>
      </c>
      <c r="G16" s="72">
        <f>'Main Tax Calculation Wksh'!F47</f>
        <v>40000</v>
      </c>
      <c r="H16" s="72">
        <f>'Main Tax Calculation Wksh'!F48</f>
        <v>0</v>
      </c>
    </row>
    <row r="17" spans="1:8" x14ac:dyDescent="0.2">
      <c r="A17" s="93" t="s">
        <v>47</v>
      </c>
      <c r="C17" s="71">
        <f>C15-C16</f>
        <v>0</v>
      </c>
      <c r="D17" s="71">
        <f t="shared" ref="D17:H17" si="5">D15-D16</f>
        <v>-121812</v>
      </c>
      <c r="E17" s="71">
        <f t="shared" si="5"/>
        <v>-121812</v>
      </c>
      <c r="F17" s="71">
        <f t="shared" si="5"/>
        <v>-40000</v>
      </c>
      <c r="G17" s="71">
        <f t="shared" si="5"/>
        <v>-40000</v>
      </c>
      <c r="H17" s="71">
        <f t="shared" si="5"/>
        <v>0</v>
      </c>
    </row>
    <row r="18" spans="1:8" x14ac:dyDescent="0.2">
      <c r="A18" s="93" t="s">
        <v>48</v>
      </c>
      <c r="B18" s="77" t="s">
        <v>50</v>
      </c>
      <c r="C18" s="76">
        <f>'Main Tax Calculation Wksh'!E37</f>
        <v>4.5399999999999998E-4</v>
      </c>
      <c r="D18" s="76">
        <f t="shared" ref="D18:H18" si="6">$C$18</f>
        <v>4.5399999999999998E-4</v>
      </c>
      <c r="E18" s="76">
        <f t="shared" si="6"/>
        <v>4.5399999999999998E-4</v>
      </c>
      <c r="F18" s="76">
        <f t="shared" si="6"/>
        <v>4.5399999999999998E-4</v>
      </c>
      <c r="G18" s="76">
        <f t="shared" si="6"/>
        <v>4.5399999999999998E-4</v>
      </c>
      <c r="H18" s="76">
        <f t="shared" si="6"/>
        <v>4.5399999999999998E-4</v>
      </c>
    </row>
    <row r="19" spans="1:8" ht="13.5" x14ac:dyDescent="0.2">
      <c r="A19" s="92" t="s">
        <v>54</v>
      </c>
      <c r="B19" s="78" t="s">
        <v>51</v>
      </c>
      <c r="C19" s="80">
        <f>IF(C17*C18&lt;0,0,C17*C18)</f>
        <v>0</v>
      </c>
      <c r="D19" s="80">
        <f t="shared" ref="D19:H19" si="7">IF(D17*D18&lt;0,0,D17*D18)</f>
        <v>0</v>
      </c>
      <c r="E19" s="80">
        <f t="shared" si="7"/>
        <v>0</v>
      </c>
      <c r="F19" s="80">
        <f t="shared" si="7"/>
        <v>0</v>
      </c>
      <c r="G19" s="80">
        <f t="shared" si="7"/>
        <v>0</v>
      </c>
      <c r="H19" s="80">
        <f t="shared" si="7"/>
        <v>0</v>
      </c>
    </row>
    <row r="20" spans="1:8" x14ac:dyDescent="0.2">
      <c r="A20" s="75"/>
    </row>
    <row r="21" spans="1:8" ht="13.5" x14ac:dyDescent="0.2">
      <c r="A21" s="73" t="s">
        <v>15</v>
      </c>
      <c r="C21" s="70"/>
      <c r="F21" s="58"/>
    </row>
    <row r="22" spans="1:8" x14ac:dyDescent="0.2">
      <c r="A22" s="93" t="s">
        <v>45</v>
      </c>
      <c r="C22" s="71">
        <f>IF('Main Tax Calculation Wksh'!$B$10=26,'Main Tax Calculation Wksh'!$B$8,0)</f>
        <v>0</v>
      </c>
      <c r="D22" s="71">
        <f t="shared" ref="D22:H22" si="8">$C$22</f>
        <v>0</v>
      </c>
      <c r="E22" s="71">
        <f t="shared" si="8"/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</row>
    <row r="23" spans="1:8" x14ac:dyDescent="0.2">
      <c r="A23" s="93" t="s">
        <v>46</v>
      </c>
      <c r="B23" s="78" t="s">
        <v>52</v>
      </c>
      <c r="C23" s="72">
        <f>'Main Tax Calculation Wksh'!G43</f>
        <v>2000</v>
      </c>
      <c r="D23" s="72">
        <f>'Main Tax Calculation Wksh'!G44</f>
        <v>121812</v>
      </c>
      <c r="E23" s="72">
        <f>'Main Tax Calculation Wksh'!G45</f>
        <v>121812</v>
      </c>
      <c r="F23" s="72">
        <f>'Main Tax Calculation Wksh'!G46</f>
        <v>40000</v>
      </c>
      <c r="G23" s="72">
        <f>'Main Tax Calculation Wksh'!G47</f>
        <v>40000</v>
      </c>
      <c r="H23" s="72">
        <f>'Main Tax Calculation Wksh'!G48</f>
        <v>0</v>
      </c>
    </row>
    <row r="24" spans="1:8" x14ac:dyDescent="0.2">
      <c r="A24" s="93" t="s">
        <v>47</v>
      </c>
      <c r="C24" s="71">
        <f>C22-C23</f>
        <v>-2000</v>
      </c>
      <c r="D24" s="71">
        <f t="shared" ref="D24:H24" si="9">D22-D23</f>
        <v>-121812</v>
      </c>
      <c r="E24" s="71">
        <f t="shared" si="9"/>
        <v>-121812</v>
      </c>
      <c r="F24" s="71">
        <f t="shared" si="9"/>
        <v>-40000</v>
      </c>
      <c r="G24" s="71">
        <f t="shared" si="9"/>
        <v>-40000</v>
      </c>
      <c r="H24" s="71">
        <f t="shared" si="9"/>
        <v>0</v>
      </c>
    </row>
    <row r="25" spans="1:8" x14ac:dyDescent="0.2">
      <c r="A25" s="93" t="s">
        <v>48</v>
      </c>
      <c r="B25" s="77" t="s">
        <v>50</v>
      </c>
      <c r="C25" s="76">
        <f>'Main Tax Calculation Wksh'!F37</f>
        <v>1.6233999999999998E-2</v>
      </c>
      <c r="D25" s="76">
        <f t="shared" ref="D25:H25" si="10">$C$25</f>
        <v>1.6233999999999998E-2</v>
      </c>
      <c r="E25" s="76">
        <f t="shared" si="10"/>
        <v>1.6233999999999998E-2</v>
      </c>
      <c r="F25" s="76">
        <f t="shared" si="10"/>
        <v>1.6233999999999998E-2</v>
      </c>
      <c r="G25" s="76">
        <f t="shared" si="10"/>
        <v>1.6233999999999998E-2</v>
      </c>
      <c r="H25" s="76">
        <f t="shared" si="10"/>
        <v>1.6233999999999998E-2</v>
      </c>
    </row>
    <row r="26" spans="1:8" ht="13.5" x14ac:dyDescent="0.2">
      <c r="A26" s="92" t="s">
        <v>55</v>
      </c>
      <c r="B26" s="78" t="s">
        <v>51</v>
      </c>
      <c r="C26" s="80">
        <f>IF(C24*C25&lt;0,0,C24*C25)</f>
        <v>0</v>
      </c>
      <c r="D26" s="80">
        <f t="shared" ref="D26:H26" si="11">IF(D24*D25&lt;0,0,D24*D25)</f>
        <v>0</v>
      </c>
      <c r="E26" s="80">
        <f t="shared" si="11"/>
        <v>0</v>
      </c>
      <c r="F26" s="80">
        <f t="shared" si="11"/>
        <v>0</v>
      </c>
      <c r="G26" s="80">
        <f t="shared" si="11"/>
        <v>0</v>
      </c>
      <c r="H26" s="80">
        <f t="shared" si="11"/>
        <v>0</v>
      </c>
    </row>
    <row r="27" spans="1:8" x14ac:dyDescent="0.2">
      <c r="F27" s="58"/>
    </row>
    <row r="28" spans="1:8" ht="13.5" x14ac:dyDescent="0.2">
      <c r="A28" s="73" t="s">
        <v>16</v>
      </c>
      <c r="F28" s="58"/>
    </row>
    <row r="29" spans="1:8" x14ac:dyDescent="0.2">
      <c r="A29" s="93" t="s">
        <v>45</v>
      </c>
      <c r="C29" s="71">
        <f>IF('Main Tax Calculation Wksh'!$B$10=26,'Main Tax Calculation Wksh'!$B$8,0)</f>
        <v>0</v>
      </c>
      <c r="D29" s="71">
        <f t="shared" ref="D29:H29" si="12">$C$29</f>
        <v>0</v>
      </c>
      <c r="E29" s="71">
        <f t="shared" si="12"/>
        <v>0</v>
      </c>
      <c r="F29" s="71">
        <f t="shared" si="12"/>
        <v>0</v>
      </c>
      <c r="G29" s="71">
        <f t="shared" si="12"/>
        <v>0</v>
      </c>
      <c r="H29" s="71">
        <f t="shared" si="12"/>
        <v>0</v>
      </c>
    </row>
    <row r="30" spans="1:8" x14ac:dyDescent="0.2">
      <c r="A30" s="93" t="s">
        <v>46</v>
      </c>
      <c r="B30" s="78" t="s">
        <v>52</v>
      </c>
      <c r="C30" s="72">
        <f>'Main Tax Calculation Wksh'!H43</f>
        <v>0</v>
      </c>
      <c r="D30" s="72">
        <f>'Main Tax Calculation Wksh'!H44</f>
        <v>121812</v>
      </c>
      <c r="E30" s="72">
        <f>'Main Tax Calculation Wksh'!H45</f>
        <v>121812</v>
      </c>
      <c r="F30" s="72">
        <f>'Main Tax Calculation Wksh'!H46</f>
        <v>40000</v>
      </c>
      <c r="G30" s="72">
        <f>'Main Tax Calculation Wksh'!H47</f>
        <v>40000</v>
      </c>
      <c r="H30" s="72">
        <f>'Main Tax Calculation Wksh'!H48</f>
        <v>0</v>
      </c>
    </row>
    <row r="31" spans="1:8" x14ac:dyDescent="0.2">
      <c r="A31" s="93" t="s">
        <v>47</v>
      </c>
      <c r="C31" s="71">
        <f>C29-C30</f>
        <v>0</v>
      </c>
      <c r="D31" s="71">
        <f t="shared" ref="D31:H31" si="13">D29-D30</f>
        <v>-121812</v>
      </c>
      <c r="E31" s="71">
        <f t="shared" si="13"/>
        <v>-121812</v>
      </c>
      <c r="F31" s="71">
        <f t="shared" si="13"/>
        <v>-40000</v>
      </c>
      <c r="G31" s="71">
        <f t="shared" si="13"/>
        <v>-40000</v>
      </c>
      <c r="H31" s="71">
        <f t="shared" si="13"/>
        <v>0</v>
      </c>
    </row>
    <row r="32" spans="1:8" x14ac:dyDescent="0.2">
      <c r="A32" s="93" t="s">
        <v>48</v>
      </c>
      <c r="B32" s="77" t="s">
        <v>50</v>
      </c>
      <c r="C32" s="76">
        <f>'Main Tax Calculation Wksh'!G37</f>
        <v>0</v>
      </c>
      <c r="D32" s="76">
        <f t="shared" ref="D32:H32" si="14">$C$32</f>
        <v>0</v>
      </c>
      <c r="E32" s="76">
        <f t="shared" si="14"/>
        <v>0</v>
      </c>
      <c r="F32" s="76">
        <f t="shared" si="14"/>
        <v>0</v>
      </c>
      <c r="G32" s="76">
        <f t="shared" si="14"/>
        <v>0</v>
      </c>
      <c r="H32" s="76">
        <f t="shared" si="14"/>
        <v>0</v>
      </c>
    </row>
    <row r="33" spans="1:8" ht="13.5" x14ac:dyDescent="0.2">
      <c r="A33" s="92" t="s">
        <v>56</v>
      </c>
      <c r="B33" s="78" t="s">
        <v>51</v>
      </c>
      <c r="C33" s="80">
        <f>IF(C31*C32&lt;0,0,C31*C32)</f>
        <v>0</v>
      </c>
      <c r="D33" s="80">
        <f t="shared" ref="D33:H33" si="15">IF(D31*D32&lt;0,0,D31*D32)</f>
        <v>0</v>
      </c>
      <c r="E33" s="80">
        <f t="shared" si="15"/>
        <v>0</v>
      </c>
      <c r="F33" s="80">
        <f t="shared" si="15"/>
        <v>0</v>
      </c>
      <c r="G33" s="80">
        <f t="shared" si="15"/>
        <v>0</v>
      </c>
      <c r="H33" s="80">
        <f t="shared" si="15"/>
        <v>0</v>
      </c>
    </row>
    <row r="34" spans="1:8" x14ac:dyDescent="0.2">
      <c r="A34" s="75"/>
    </row>
    <row r="35" spans="1:8" ht="13.5" x14ac:dyDescent="0.2">
      <c r="A35" s="73" t="s">
        <v>17</v>
      </c>
    </row>
    <row r="36" spans="1:8" x14ac:dyDescent="0.2">
      <c r="A36" s="93" t="s">
        <v>45</v>
      </c>
      <c r="C36" s="71">
        <f>IF('Main Tax Calculation Wksh'!$B$10=26,'Main Tax Calculation Wksh'!$B$8,0)</f>
        <v>0</v>
      </c>
      <c r="D36" s="71">
        <f t="shared" ref="D36:H36" si="16">$C$36</f>
        <v>0</v>
      </c>
      <c r="E36" s="71">
        <f t="shared" si="16"/>
        <v>0</v>
      </c>
      <c r="F36" s="71">
        <f t="shared" si="16"/>
        <v>0</v>
      </c>
      <c r="G36" s="71">
        <f t="shared" si="16"/>
        <v>0</v>
      </c>
      <c r="H36" s="71">
        <f t="shared" si="16"/>
        <v>0</v>
      </c>
    </row>
    <row r="37" spans="1:8" x14ac:dyDescent="0.2">
      <c r="A37" s="93" t="s">
        <v>46</v>
      </c>
      <c r="B37" s="78" t="s">
        <v>52</v>
      </c>
      <c r="C37" s="72">
        <f>'Main Tax Calculation Wksh'!I43</f>
        <v>0</v>
      </c>
      <c r="D37" s="72">
        <f>'Main Tax Calculation Wksh'!I44</f>
        <v>121812</v>
      </c>
      <c r="E37" s="72">
        <f>'Main Tax Calculation Wksh'!I45</f>
        <v>121812</v>
      </c>
      <c r="F37" s="72">
        <f>'Main Tax Calculation Wksh'!I46</f>
        <v>0</v>
      </c>
      <c r="G37" s="72">
        <f>'Main Tax Calculation Wksh'!I47</f>
        <v>0</v>
      </c>
      <c r="H37" s="72">
        <f>'Main Tax Calculation Wksh'!I48</f>
        <v>0</v>
      </c>
    </row>
    <row r="38" spans="1:8" x14ac:dyDescent="0.2">
      <c r="A38" s="93" t="s">
        <v>47</v>
      </c>
      <c r="C38" s="71">
        <f>C36-C37</f>
        <v>0</v>
      </c>
      <c r="D38" s="71">
        <f t="shared" ref="D38:H38" si="17">D36-D37</f>
        <v>-121812</v>
      </c>
      <c r="E38" s="71">
        <f t="shared" si="17"/>
        <v>-121812</v>
      </c>
      <c r="F38" s="71">
        <f t="shared" si="17"/>
        <v>0</v>
      </c>
      <c r="G38" s="71">
        <f t="shared" si="17"/>
        <v>0</v>
      </c>
      <c r="H38" s="71">
        <f t="shared" si="17"/>
        <v>0</v>
      </c>
    </row>
    <row r="39" spans="1:8" x14ac:dyDescent="0.2">
      <c r="A39" s="93" t="s">
        <v>48</v>
      </c>
      <c r="B39" s="77" t="s">
        <v>50</v>
      </c>
      <c r="C39" s="76">
        <f>SUM('Main Tax Calculation Wksh'!H37:I37)</f>
        <v>9.3500000000000007E-3</v>
      </c>
      <c r="D39" s="76">
        <f t="shared" ref="D39:H39" si="18">$C$39</f>
        <v>9.3500000000000007E-3</v>
      </c>
      <c r="E39" s="76">
        <f t="shared" si="18"/>
        <v>9.3500000000000007E-3</v>
      </c>
      <c r="F39" s="76">
        <f t="shared" si="18"/>
        <v>9.3500000000000007E-3</v>
      </c>
      <c r="G39" s="76">
        <f t="shared" si="18"/>
        <v>9.3500000000000007E-3</v>
      </c>
      <c r="H39" s="76">
        <f t="shared" si="18"/>
        <v>9.3500000000000007E-3</v>
      </c>
    </row>
    <row r="40" spans="1:8" ht="13.5" x14ac:dyDescent="0.2">
      <c r="A40" s="92" t="s">
        <v>57</v>
      </c>
      <c r="B40" s="78" t="s">
        <v>51</v>
      </c>
      <c r="C40" s="80">
        <f>IF(C38*C39&lt;0,0,C38*C39)</f>
        <v>0</v>
      </c>
      <c r="D40" s="80">
        <f t="shared" ref="D40:H40" si="19">IF(D38*D39&lt;0,0,D38*D39)</f>
        <v>0</v>
      </c>
      <c r="E40" s="80">
        <f t="shared" si="19"/>
        <v>0</v>
      </c>
      <c r="F40" s="80">
        <f t="shared" si="19"/>
        <v>0</v>
      </c>
      <c r="G40" s="80">
        <f t="shared" si="19"/>
        <v>0</v>
      </c>
      <c r="H40" s="80">
        <f t="shared" si="19"/>
        <v>0</v>
      </c>
    </row>
    <row r="42" spans="1:8" ht="13.5" x14ac:dyDescent="0.2">
      <c r="A42" s="92" t="s">
        <v>18</v>
      </c>
      <c r="C42" s="80">
        <f>IF(AND('Main Tax Calculation Wksh'!$B$10=26,'Main Tax Calculation Wksh'!$B$12="Y"),45,0)</f>
        <v>0</v>
      </c>
      <c r="D42" s="80">
        <f t="shared" ref="D42:H42" si="20">$C$42</f>
        <v>0</v>
      </c>
      <c r="E42" s="80">
        <f t="shared" si="20"/>
        <v>0</v>
      </c>
      <c r="F42" s="80">
        <f t="shared" si="20"/>
        <v>0</v>
      </c>
      <c r="G42" s="80">
        <f t="shared" si="20"/>
        <v>0</v>
      </c>
      <c r="H42" s="80">
        <f t="shared" si="20"/>
        <v>0</v>
      </c>
    </row>
    <row r="43" spans="1:8" x14ac:dyDescent="0.2">
      <c r="A43" s="75"/>
    </row>
    <row r="44" spans="1:8" ht="13.5" x14ac:dyDescent="0.2">
      <c r="A44" s="94" t="s">
        <v>58</v>
      </c>
      <c r="C44" s="80">
        <f>C$12+C$19+C$26+C$33+C$40+C$42</f>
        <v>0</v>
      </c>
      <c r="D44" s="80">
        <f t="shared" ref="D44:H44" si="21">D$12+D$19+D$26+D$33+D$40+D$42</f>
        <v>0</v>
      </c>
      <c r="E44" s="80">
        <f t="shared" si="21"/>
        <v>0</v>
      </c>
      <c r="F44" s="80">
        <f t="shared" si="21"/>
        <v>0</v>
      </c>
      <c r="G44" s="80">
        <f t="shared" si="21"/>
        <v>0</v>
      </c>
      <c r="H44" s="80">
        <f t="shared" si="21"/>
        <v>0</v>
      </c>
    </row>
    <row r="45" spans="1:8" x14ac:dyDescent="0.2"/>
    <row r="47" spans="1:8" x14ac:dyDescent="0.2">
      <c r="A47" s="75"/>
    </row>
  </sheetData>
  <sheetProtection sheet="1" objects="1" scenarios="1"/>
  <conditionalFormatting sqref="A4:H4">
    <cfRule type="expression" dxfId="14" priority="84">
      <formula>#REF!&gt;0</formula>
    </cfRule>
  </conditionalFormatting>
  <conditionalFormatting sqref="C6:C44 D12:H12 D19:H19 D26:H26 D33:H33 D40:H40 D44:H44">
    <cfRule type="expression" dxfId="13" priority="97">
      <formula>$K$7=1</formula>
    </cfRule>
  </conditionalFormatting>
  <conditionalFormatting sqref="D6:D43">
    <cfRule type="expression" dxfId="12" priority="103">
      <formula>$K$8=1</formula>
    </cfRule>
  </conditionalFormatting>
  <conditionalFormatting sqref="E6:E43">
    <cfRule type="expression" dxfId="11" priority="105">
      <formula>$K$9=1</formula>
    </cfRule>
  </conditionalFormatting>
  <conditionalFormatting sqref="F6:F43">
    <cfRule type="expression" dxfId="10" priority="106">
      <formula>$K$10=1</formula>
    </cfRule>
  </conditionalFormatting>
  <conditionalFormatting sqref="G6:G43">
    <cfRule type="expression" dxfId="9" priority="107">
      <formula>$K$11=1</formula>
    </cfRule>
  </conditionalFormatting>
  <conditionalFormatting sqref="H6:H43">
    <cfRule type="expression" dxfId="8" priority="108">
      <formula>$K$12=1</formula>
    </cfRule>
  </conditionalFormatting>
  <printOptions horizontalCentered="1" verticalCentered="1"/>
  <pageMargins left="0" right="0" top="0" bottom="0" header="0" footer="0"/>
  <pageSetup scale="7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39997558519241921"/>
    <pageSetUpPr fitToPage="1"/>
  </sheetPr>
  <dimension ref="A1:K47"/>
  <sheetViews>
    <sheetView workbookViewId="0">
      <selection activeCell="A4" sqref="A4"/>
    </sheetView>
  </sheetViews>
  <sheetFormatPr defaultRowHeight="12.75" x14ac:dyDescent="0.2"/>
  <cols>
    <col min="1" max="1" width="27.28515625" style="70" bestFit="1" customWidth="1"/>
    <col min="2" max="2" width="2.28515625" style="70" bestFit="1" customWidth="1"/>
    <col min="3" max="5" width="9.85546875" style="71" customWidth="1"/>
    <col min="6" max="8" width="9.85546875" style="70" customWidth="1"/>
    <col min="9" max="9" width="9.140625" style="70"/>
    <col min="10" max="10" width="4" style="70" bestFit="1" customWidth="1"/>
    <col min="11" max="11" width="1.85546875" style="70" bestFit="1" customWidth="1"/>
    <col min="12" max="12" width="9.140625" style="70"/>
    <col min="13" max="13" width="3.7109375" style="70" customWidth="1"/>
    <col min="14" max="14" width="3.140625" style="70" customWidth="1"/>
    <col min="15" max="16384" width="9.140625" style="70"/>
  </cols>
  <sheetData>
    <row r="1" spans="1:11" ht="15.75" thickTop="1" x14ac:dyDescent="0.25">
      <c r="A1" s="83" t="s">
        <v>0</v>
      </c>
      <c r="B1" s="84"/>
      <c r="C1" s="85"/>
      <c r="D1" s="85"/>
      <c r="E1" s="85"/>
      <c r="F1" s="84"/>
      <c r="G1" s="84"/>
      <c r="H1" s="86"/>
      <c r="J1"/>
      <c r="K1"/>
    </row>
    <row r="2" spans="1:11" ht="15" x14ac:dyDescent="0.25">
      <c r="A2" s="87" t="s">
        <v>1</v>
      </c>
      <c r="B2" s="88"/>
      <c r="C2" s="89"/>
      <c r="D2" s="89"/>
      <c r="E2" s="89"/>
      <c r="F2" s="88"/>
      <c r="G2" s="88"/>
      <c r="H2" s="90"/>
      <c r="J2"/>
      <c r="K2"/>
    </row>
    <row r="3" spans="1:11" ht="13.5" thickBot="1" x14ac:dyDescent="0.25">
      <c r="A3" s="87" t="s">
        <v>64</v>
      </c>
      <c r="B3" s="88"/>
      <c r="C3" s="89"/>
      <c r="D3" s="89"/>
      <c r="E3" s="89"/>
      <c r="F3" s="88"/>
      <c r="G3" s="88"/>
      <c r="H3" s="90"/>
    </row>
    <row r="4" spans="1:11" ht="14.25" thickTop="1" thickBot="1" x14ac:dyDescent="0.25">
      <c r="A4" s="111" t="s">
        <v>61</v>
      </c>
      <c r="B4" s="112"/>
      <c r="C4" s="113"/>
      <c r="D4" s="113"/>
      <c r="E4" s="113"/>
      <c r="F4" s="112"/>
      <c r="G4" s="112"/>
      <c r="H4" s="114"/>
    </row>
    <row r="5" spans="1:11" ht="13.5" thickTop="1" x14ac:dyDescent="0.2">
      <c r="A5" s="91"/>
      <c r="C5" s="79"/>
    </row>
    <row r="6" spans="1:11" x14ac:dyDescent="0.2">
      <c r="C6" s="81" t="s">
        <v>38</v>
      </c>
      <c r="D6" s="81" t="s">
        <v>39</v>
      </c>
      <c r="E6" s="81" t="s">
        <v>40</v>
      </c>
      <c r="F6" s="82" t="s">
        <v>41</v>
      </c>
      <c r="G6" s="82" t="s">
        <v>42</v>
      </c>
      <c r="H6" s="82" t="s">
        <v>43</v>
      </c>
    </row>
    <row r="7" spans="1:11" ht="13.5" x14ac:dyDescent="0.2">
      <c r="A7" s="73" t="s">
        <v>12</v>
      </c>
      <c r="J7" s="71" t="s">
        <v>38</v>
      </c>
      <c r="K7" s="77">
        <f>IF(AND('Main Tax Calculation Wksh'!$B$10&lt;25,'Main Tax Calculation Wksh'!$B$11="S1"),1,0)</f>
        <v>0</v>
      </c>
    </row>
    <row r="8" spans="1:11" x14ac:dyDescent="0.2">
      <c r="A8" s="93" t="s">
        <v>45</v>
      </c>
      <c r="C8" s="71">
        <f>IF('Main Tax Calculation Wksh'!$B$10&lt;25,'Main Tax Calculation Wksh'!$B$8,0)</f>
        <v>0</v>
      </c>
      <c r="D8" s="71">
        <f t="shared" ref="D8:H8" si="0">$C$8</f>
        <v>0</v>
      </c>
      <c r="E8" s="71">
        <f t="shared" si="0"/>
        <v>0</v>
      </c>
      <c r="F8" s="71">
        <f t="shared" si="0"/>
        <v>0</v>
      </c>
      <c r="G8" s="71">
        <f t="shared" si="0"/>
        <v>0</v>
      </c>
      <c r="H8" s="71">
        <f t="shared" si="0"/>
        <v>0</v>
      </c>
      <c r="J8" s="71" t="s">
        <v>39</v>
      </c>
      <c r="K8" s="77">
        <f>IF(AND('Main Tax Calculation Wksh'!$B$10&lt;25,'Main Tax Calculation Wksh'!$B$11="S5"),1,0)</f>
        <v>0</v>
      </c>
    </row>
    <row r="9" spans="1:11" x14ac:dyDescent="0.2">
      <c r="A9" s="93" t="s">
        <v>46</v>
      </c>
      <c r="B9" s="78" t="s">
        <v>52</v>
      </c>
      <c r="C9" s="72">
        <f>'Main Tax Calculation Wksh'!D43</f>
        <v>2000</v>
      </c>
      <c r="D9" s="72">
        <f>'Main Tax Calculation Wksh'!D44</f>
        <v>121812</v>
      </c>
      <c r="E9" s="72">
        <f>'Main Tax Calculation Wksh'!D45</f>
        <v>121812</v>
      </c>
      <c r="F9" s="72">
        <f>'Main Tax Calculation Wksh'!D46</f>
        <v>40000</v>
      </c>
      <c r="G9" s="72">
        <f>'Main Tax Calculation Wksh'!D47</f>
        <v>40000</v>
      </c>
      <c r="H9" s="72">
        <f>'Main Tax Calculation Wksh'!D48</f>
        <v>2000</v>
      </c>
      <c r="J9" s="71" t="s">
        <v>40</v>
      </c>
      <c r="K9" s="77">
        <f>IF(AND('Main Tax Calculation Wksh'!$B$10&lt;25,'Main Tax Calculation Wksh'!$B$11="SS"),1,0)</f>
        <v>0</v>
      </c>
    </row>
    <row r="10" spans="1:11" x14ac:dyDescent="0.2">
      <c r="A10" s="93" t="s">
        <v>47</v>
      </c>
      <c r="C10" s="71">
        <f>C8-C9</f>
        <v>-2000</v>
      </c>
      <c r="D10" s="71">
        <f t="shared" ref="D10:H10" si="1">D8-D9</f>
        <v>-121812</v>
      </c>
      <c r="E10" s="71">
        <f t="shared" si="1"/>
        <v>-121812</v>
      </c>
      <c r="F10" s="71">
        <f t="shared" si="1"/>
        <v>-40000</v>
      </c>
      <c r="G10" s="71">
        <f t="shared" si="1"/>
        <v>-40000</v>
      </c>
      <c r="H10" s="71">
        <f t="shared" si="1"/>
        <v>-2000</v>
      </c>
      <c r="J10" s="70" t="s">
        <v>41</v>
      </c>
      <c r="K10" s="77">
        <f>IF(AND('Main Tax Calculation Wksh'!$B$10&lt;25,'Main Tax Calculation Wksh'!$B$11="L3"),1,0)</f>
        <v>0</v>
      </c>
    </row>
    <row r="11" spans="1:11" x14ac:dyDescent="0.2">
      <c r="A11" s="93" t="s">
        <v>48</v>
      </c>
      <c r="B11" s="77" t="s">
        <v>50</v>
      </c>
      <c r="C11" s="76">
        <f>SUM('Main Tax Calculation Wksh'!B32:C32)</f>
        <v>4.3600000000000002E-3</v>
      </c>
      <c r="D11" s="76">
        <f t="shared" ref="D11:H11" si="2">$C$11</f>
        <v>4.3600000000000002E-3</v>
      </c>
      <c r="E11" s="76">
        <f t="shared" si="2"/>
        <v>4.3600000000000002E-3</v>
      </c>
      <c r="F11" s="76">
        <f t="shared" si="2"/>
        <v>4.3600000000000002E-3</v>
      </c>
      <c r="G11" s="76">
        <f t="shared" si="2"/>
        <v>4.3600000000000002E-3</v>
      </c>
      <c r="H11" s="76">
        <f t="shared" si="2"/>
        <v>4.3600000000000002E-3</v>
      </c>
      <c r="J11" s="70" t="s">
        <v>42</v>
      </c>
      <c r="K11" s="77">
        <f>IF(AND('Main Tax Calculation Wksh'!$B$10&lt;25,'Main Tax Calculation Wksh'!$B$11="L5"),1,0)</f>
        <v>0</v>
      </c>
    </row>
    <row r="12" spans="1:11" ht="13.5" x14ac:dyDescent="0.2">
      <c r="A12" s="92" t="s">
        <v>49</v>
      </c>
      <c r="B12" s="78" t="s">
        <v>51</v>
      </c>
      <c r="C12" s="80">
        <f>IF(C10*C11&lt;0,0,ROUND(C10*C11,2))</f>
        <v>0</v>
      </c>
      <c r="D12" s="80">
        <f t="shared" ref="D12:H12" si="3">IF(D10*D11&lt;0,0,D10*D11)</f>
        <v>0</v>
      </c>
      <c r="E12" s="80">
        <f t="shared" si="3"/>
        <v>0</v>
      </c>
      <c r="F12" s="80">
        <f>IF(F10*F11&lt;0,0,ROUND(F10*F11,2))</f>
        <v>0</v>
      </c>
      <c r="G12" s="80">
        <f>IF(G10*G11&lt;0,0,ROUND(G10*G11,2))</f>
        <v>0</v>
      </c>
      <c r="H12" s="80">
        <f t="shared" si="3"/>
        <v>0</v>
      </c>
      <c r="J12" s="70" t="s">
        <v>43</v>
      </c>
      <c r="K12" s="77">
        <f>IF(AND('Main Tax Calculation Wksh'!$B$10&lt;25,'Main Tax Calculation Wksh'!$B$11="L6"),1,0)</f>
        <v>0</v>
      </c>
    </row>
    <row r="13" spans="1:11" x14ac:dyDescent="0.2">
      <c r="A13" s="74"/>
    </row>
    <row r="14" spans="1:11" ht="13.5" x14ac:dyDescent="0.2">
      <c r="A14" s="73" t="s">
        <v>13</v>
      </c>
    </row>
    <row r="15" spans="1:11" x14ac:dyDescent="0.2">
      <c r="A15" s="93" t="s">
        <v>45</v>
      </c>
      <c r="C15" s="71">
        <f>IF('Main Tax Calculation Wksh'!$B$10&lt;25,'Main Tax Calculation Wksh'!$B$8,0)</f>
        <v>0</v>
      </c>
      <c r="D15" s="71">
        <f t="shared" ref="D15:H15" si="4">$C$15</f>
        <v>0</v>
      </c>
      <c r="E15" s="71">
        <f t="shared" si="4"/>
        <v>0</v>
      </c>
      <c r="F15" s="71">
        <f t="shared" si="4"/>
        <v>0</v>
      </c>
      <c r="G15" s="71">
        <f t="shared" si="4"/>
        <v>0</v>
      </c>
      <c r="H15" s="71">
        <f t="shared" si="4"/>
        <v>0</v>
      </c>
    </row>
    <row r="16" spans="1:11" x14ac:dyDescent="0.2">
      <c r="A16" s="93" t="s">
        <v>46</v>
      </c>
      <c r="B16" s="78" t="s">
        <v>52</v>
      </c>
      <c r="C16" s="72">
        <f>'Main Tax Calculation Wksh'!E43</f>
        <v>2000</v>
      </c>
      <c r="D16" s="72">
        <f>'Main Tax Calculation Wksh'!E44</f>
        <v>121812</v>
      </c>
      <c r="E16" s="72">
        <f>'Main Tax Calculation Wksh'!E45</f>
        <v>121812</v>
      </c>
      <c r="F16" s="72">
        <f>'Main Tax Calculation Wksh'!E46</f>
        <v>40000</v>
      </c>
      <c r="G16" s="72">
        <f>'Main Tax Calculation Wksh'!E47</f>
        <v>40000</v>
      </c>
      <c r="H16" s="72">
        <f>'Main Tax Calculation Wksh'!E48</f>
        <v>2000</v>
      </c>
    </row>
    <row r="17" spans="1:8" x14ac:dyDescent="0.2">
      <c r="A17" s="93" t="s">
        <v>47</v>
      </c>
      <c r="C17" s="71">
        <f>C15-C16</f>
        <v>-2000</v>
      </c>
      <c r="D17" s="71">
        <f t="shared" ref="D17:H17" si="5">D15-D16</f>
        <v>-121812</v>
      </c>
      <c r="E17" s="71">
        <f t="shared" si="5"/>
        <v>-121812</v>
      </c>
      <c r="F17" s="71">
        <f t="shared" si="5"/>
        <v>-40000</v>
      </c>
      <c r="G17" s="71">
        <f t="shared" si="5"/>
        <v>-40000</v>
      </c>
      <c r="H17" s="71">
        <f t="shared" si="5"/>
        <v>-2000</v>
      </c>
    </row>
    <row r="18" spans="1:8" x14ac:dyDescent="0.2">
      <c r="A18" s="93" t="s">
        <v>48</v>
      </c>
      <c r="B18" s="77" t="s">
        <v>50</v>
      </c>
      <c r="C18" s="76">
        <f>'Main Tax Calculation Wksh'!D32</f>
        <v>2.7880000000000001E-3</v>
      </c>
      <c r="D18" s="76">
        <f t="shared" ref="D18:H18" si="6">$C$18</f>
        <v>2.7880000000000001E-3</v>
      </c>
      <c r="E18" s="76">
        <f t="shared" si="6"/>
        <v>2.7880000000000001E-3</v>
      </c>
      <c r="F18" s="76">
        <f t="shared" si="6"/>
        <v>2.7880000000000001E-3</v>
      </c>
      <c r="G18" s="76">
        <f t="shared" si="6"/>
        <v>2.7880000000000001E-3</v>
      </c>
      <c r="H18" s="76">
        <f t="shared" si="6"/>
        <v>2.7880000000000001E-3</v>
      </c>
    </row>
    <row r="19" spans="1:8" ht="13.5" x14ac:dyDescent="0.2">
      <c r="A19" s="92" t="s">
        <v>59</v>
      </c>
      <c r="B19" s="78" t="s">
        <v>51</v>
      </c>
      <c r="C19" s="80">
        <f>IF(C17*C18&lt;0,0,ROUND(C17*C18,2))</f>
        <v>0</v>
      </c>
      <c r="D19" s="80">
        <f t="shared" ref="D19:H19" si="7">IF(D17*D18&lt;0,0,D17*D18)</f>
        <v>0</v>
      </c>
      <c r="E19" s="80">
        <f t="shared" si="7"/>
        <v>0</v>
      </c>
      <c r="F19" s="80">
        <f>IF(F17*F18&lt;0,0,ROUND(F17*F18,2))</f>
        <v>0</v>
      </c>
      <c r="G19" s="80">
        <f>IF(G17*G18&lt;0,0,ROUND(G17*G18,2))</f>
        <v>0</v>
      </c>
      <c r="H19" s="80">
        <f t="shared" si="7"/>
        <v>0</v>
      </c>
    </row>
    <row r="20" spans="1:8" x14ac:dyDescent="0.2">
      <c r="A20" s="75"/>
    </row>
    <row r="21" spans="1:8" ht="13.5" x14ac:dyDescent="0.2">
      <c r="A21" s="73" t="s">
        <v>14</v>
      </c>
    </row>
    <row r="22" spans="1:8" x14ac:dyDescent="0.2">
      <c r="A22" s="93" t="s">
        <v>45</v>
      </c>
      <c r="C22" s="71">
        <f>IF('Main Tax Calculation Wksh'!$B$10&lt;25,'Main Tax Calculation Wksh'!$B$8,0)</f>
        <v>0</v>
      </c>
      <c r="D22" s="71">
        <f t="shared" ref="D22:H22" si="8">$C$22</f>
        <v>0</v>
      </c>
      <c r="E22" s="71">
        <f t="shared" si="8"/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</row>
    <row r="23" spans="1:8" x14ac:dyDescent="0.2">
      <c r="A23" s="93" t="s">
        <v>46</v>
      </c>
      <c r="B23" s="78" t="s">
        <v>52</v>
      </c>
      <c r="C23" s="72">
        <f>'Main Tax Calculation Wksh'!F43</f>
        <v>0</v>
      </c>
      <c r="D23" s="72">
        <f>'Main Tax Calculation Wksh'!F44</f>
        <v>121812</v>
      </c>
      <c r="E23" s="72">
        <f>'Main Tax Calculation Wksh'!F45</f>
        <v>121812</v>
      </c>
      <c r="F23" s="72">
        <f>'Main Tax Calculation Wksh'!F46</f>
        <v>40000</v>
      </c>
      <c r="G23" s="72">
        <f>'Main Tax Calculation Wksh'!F47</f>
        <v>40000</v>
      </c>
      <c r="H23" s="72">
        <f>'Main Tax Calculation Wksh'!F48</f>
        <v>0</v>
      </c>
    </row>
    <row r="24" spans="1:8" x14ac:dyDescent="0.2">
      <c r="A24" s="93" t="s">
        <v>47</v>
      </c>
      <c r="C24" s="71">
        <f>C22-C23</f>
        <v>0</v>
      </c>
      <c r="D24" s="71">
        <f t="shared" ref="D24:H24" si="9">D22-D23</f>
        <v>-121812</v>
      </c>
      <c r="E24" s="71">
        <f t="shared" si="9"/>
        <v>-121812</v>
      </c>
      <c r="F24" s="71">
        <f t="shared" si="9"/>
        <v>-40000</v>
      </c>
      <c r="G24" s="71">
        <f t="shared" si="9"/>
        <v>-40000</v>
      </c>
      <c r="H24" s="71">
        <f t="shared" si="9"/>
        <v>0</v>
      </c>
    </row>
    <row r="25" spans="1:8" x14ac:dyDescent="0.2">
      <c r="A25" s="93" t="s">
        <v>48</v>
      </c>
      <c r="B25" s="77" t="s">
        <v>50</v>
      </c>
      <c r="C25" s="76">
        <f>'Main Tax Calculation Wksh'!E32</f>
        <v>4.5399999999999998E-4</v>
      </c>
      <c r="D25" s="76">
        <f t="shared" ref="D25:H25" si="10">$C$25</f>
        <v>4.5399999999999998E-4</v>
      </c>
      <c r="E25" s="76">
        <f t="shared" si="10"/>
        <v>4.5399999999999998E-4</v>
      </c>
      <c r="F25" s="76">
        <f t="shared" si="10"/>
        <v>4.5399999999999998E-4</v>
      </c>
      <c r="G25" s="76">
        <f t="shared" si="10"/>
        <v>4.5399999999999998E-4</v>
      </c>
      <c r="H25" s="76">
        <f t="shared" si="10"/>
        <v>4.5399999999999998E-4</v>
      </c>
    </row>
    <row r="26" spans="1:8" ht="13.5" x14ac:dyDescent="0.2">
      <c r="A26" s="92" t="s">
        <v>54</v>
      </c>
      <c r="B26" s="78" t="s">
        <v>51</v>
      </c>
      <c r="C26" s="80">
        <f>IF(C24*C25&lt;0,0,ROUND(C24*C25,2))</f>
        <v>0</v>
      </c>
      <c r="D26" s="80">
        <f t="shared" ref="D26:H26" si="11">IF(D24*D25&lt;0,0,D24*D25)</f>
        <v>0</v>
      </c>
      <c r="E26" s="80">
        <f t="shared" si="11"/>
        <v>0</v>
      </c>
      <c r="F26" s="80">
        <f>IF(F24*F25&lt;0,0,ROUND(F24*F25,2))</f>
        <v>0</v>
      </c>
      <c r="G26" s="80">
        <f>IF(G24*G25&lt;0,0,ROUND(G24*G25,2))</f>
        <v>0</v>
      </c>
      <c r="H26" s="80">
        <f t="shared" si="11"/>
        <v>0</v>
      </c>
    </row>
    <row r="27" spans="1:8" x14ac:dyDescent="0.2">
      <c r="A27" s="75"/>
    </row>
    <row r="28" spans="1:8" ht="13.5" x14ac:dyDescent="0.2">
      <c r="A28" s="73" t="s">
        <v>15</v>
      </c>
      <c r="C28" s="70"/>
      <c r="F28" s="58"/>
    </row>
    <row r="29" spans="1:8" x14ac:dyDescent="0.2">
      <c r="A29" s="93" t="s">
        <v>45</v>
      </c>
      <c r="C29" s="71">
        <f>IF('Main Tax Calculation Wksh'!$B$10&lt;25,'Main Tax Calculation Wksh'!$B$8,0)</f>
        <v>0</v>
      </c>
      <c r="D29" s="71">
        <f t="shared" ref="D29:H29" si="12">$C$29</f>
        <v>0</v>
      </c>
      <c r="E29" s="71">
        <f t="shared" si="12"/>
        <v>0</v>
      </c>
      <c r="F29" s="71">
        <f t="shared" si="12"/>
        <v>0</v>
      </c>
      <c r="G29" s="71">
        <f t="shared" si="12"/>
        <v>0</v>
      </c>
      <c r="H29" s="71">
        <f t="shared" si="12"/>
        <v>0</v>
      </c>
    </row>
    <row r="30" spans="1:8" x14ac:dyDescent="0.2">
      <c r="A30" s="93" t="s">
        <v>46</v>
      </c>
      <c r="B30" s="78" t="s">
        <v>52</v>
      </c>
      <c r="C30" s="72">
        <f>'Main Tax Calculation Wksh'!G43</f>
        <v>2000</v>
      </c>
      <c r="D30" s="72">
        <f>'Main Tax Calculation Wksh'!G44</f>
        <v>121812</v>
      </c>
      <c r="E30" s="72">
        <f>'Main Tax Calculation Wksh'!G45</f>
        <v>121812</v>
      </c>
      <c r="F30" s="72">
        <f>'Main Tax Calculation Wksh'!G46</f>
        <v>40000</v>
      </c>
      <c r="G30" s="72">
        <f>'Main Tax Calculation Wksh'!G47</f>
        <v>40000</v>
      </c>
      <c r="H30" s="72">
        <f>'Main Tax Calculation Wksh'!G48</f>
        <v>0</v>
      </c>
    </row>
    <row r="31" spans="1:8" x14ac:dyDescent="0.2">
      <c r="A31" s="93" t="s">
        <v>47</v>
      </c>
      <c r="C31" s="71">
        <f>C29-C30</f>
        <v>-2000</v>
      </c>
      <c r="D31" s="71">
        <f t="shared" ref="D31:H31" si="13">D29-D30</f>
        <v>-121812</v>
      </c>
      <c r="E31" s="71">
        <f t="shared" si="13"/>
        <v>-121812</v>
      </c>
      <c r="F31" s="71">
        <f t="shared" si="13"/>
        <v>-40000</v>
      </c>
      <c r="G31" s="71">
        <f t="shared" si="13"/>
        <v>-40000</v>
      </c>
      <c r="H31" s="71">
        <f t="shared" si="13"/>
        <v>0</v>
      </c>
    </row>
    <row r="32" spans="1:8" x14ac:dyDescent="0.2">
      <c r="A32" s="93" t="s">
        <v>48</v>
      </c>
      <c r="B32" s="77" t="s">
        <v>50</v>
      </c>
      <c r="C32" s="76">
        <f>'Main Tax Calculation Wksh'!F32</f>
        <v>1.6233999999999998E-2</v>
      </c>
      <c r="D32" s="76">
        <f t="shared" ref="D32:H32" si="14">$C$32</f>
        <v>1.6233999999999998E-2</v>
      </c>
      <c r="E32" s="76">
        <f t="shared" si="14"/>
        <v>1.6233999999999998E-2</v>
      </c>
      <c r="F32" s="76">
        <f t="shared" si="14"/>
        <v>1.6233999999999998E-2</v>
      </c>
      <c r="G32" s="76">
        <f t="shared" si="14"/>
        <v>1.6233999999999998E-2</v>
      </c>
      <c r="H32" s="76">
        <f t="shared" si="14"/>
        <v>1.6233999999999998E-2</v>
      </c>
    </row>
    <row r="33" spans="1:8" ht="13.5" x14ac:dyDescent="0.2">
      <c r="A33" s="92" t="s">
        <v>55</v>
      </c>
      <c r="B33" s="78" t="s">
        <v>51</v>
      </c>
      <c r="C33" s="80">
        <f>IF(C31*C32&lt;0,0,ROUND(C31*C32,2))</f>
        <v>0</v>
      </c>
      <c r="D33" s="80">
        <f t="shared" ref="D33:H33" si="15">IF(D31*D32&lt;0,0,D31*D32)</f>
        <v>0</v>
      </c>
      <c r="E33" s="80">
        <f t="shared" si="15"/>
        <v>0</v>
      </c>
      <c r="F33" s="80">
        <f>IF(F31*F32&lt;0,0,ROUND(F31*F32,2))</f>
        <v>0</v>
      </c>
      <c r="G33" s="80">
        <f>IF(G31*G32&lt;0,0,ROUND(G31*G32,2))</f>
        <v>0</v>
      </c>
      <c r="H33" s="80">
        <f t="shared" si="15"/>
        <v>0</v>
      </c>
    </row>
    <row r="34" spans="1:8" x14ac:dyDescent="0.2">
      <c r="F34" s="58"/>
    </row>
    <row r="35" spans="1:8" ht="13.5" x14ac:dyDescent="0.2">
      <c r="A35" s="73" t="s">
        <v>16</v>
      </c>
      <c r="F35" s="58"/>
    </row>
    <row r="36" spans="1:8" x14ac:dyDescent="0.2">
      <c r="A36" s="93" t="s">
        <v>45</v>
      </c>
      <c r="C36" s="71">
        <f>IF('Main Tax Calculation Wksh'!$B$10&lt;25,'Main Tax Calculation Wksh'!$B$8,0)</f>
        <v>0</v>
      </c>
      <c r="D36" s="71">
        <f t="shared" ref="D36:H36" si="16">$C$36</f>
        <v>0</v>
      </c>
      <c r="E36" s="71">
        <f t="shared" si="16"/>
        <v>0</v>
      </c>
      <c r="F36" s="71">
        <f t="shared" si="16"/>
        <v>0</v>
      </c>
      <c r="G36" s="71">
        <f t="shared" si="16"/>
        <v>0</v>
      </c>
      <c r="H36" s="71">
        <f t="shared" si="16"/>
        <v>0</v>
      </c>
    </row>
    <row r="37" spans="1:8" x14ac:dyDescent="0.2">
      <c r="A37" s="93" t="s">
        <v>46</v>
      </c>
      <c r="B37" s="78" t="s">
        <v>52</v>
      </c>
      <c r="C37" s="72">
        <f>'Main Tax Calculation Wksh'!H43</f>
        <v>0</v>
      </c>
      <c r="D37" s="72">
        <f>'Main Tax Calculation Wksh'!H44</f>
        <v>121812</v>
      </c>
      <c r="E37" s="72">
        <f>'Main Tax Calculation Wksh'!H45</f>
        <v>121812</v>
      </c>
      <c r="F37" s="72">
        <f>'Main Tax Calculation Wksh'!H46</f>
        <v>40000</v>
      </c>
      <c r="G37" s="72">
        <f>'Main Tax Calculation Wksh'!H47</f>
        <v>40000</v>
      </c>
      <c r="H37" s="72">
        <f>'Main Tax Calculation Wksh'!H48</f>
        <v>0</v>
      </c>
    </row>
    <row r="38" spans="1:8" x14ac:dyDescent="0.2">
      <c r="A38" s="93" t="s">
        <v>47</v>
      </c>
      <c r="C38" s="71">
        <f>C36-C37</f>
        <v>0</v>
      </c>
      <c r="D38" s="71">
        <f t="shared" ref="D38:H38" si="17">D36-D37</f>
        <v>-121812</v>
      </c>
      <c r="E38" s="71">
        <f t="shared" si="17"/>
        <v>-121812</v>
      </c>
      <c r="F38" s="71">
        <f t="shared" si="17"/>
        <v>-40000</v>
      </c>
      <c r="G38" s="71">
        <f t="shared" si="17"/>
        <v>-40000</v>
      </c>
      <c r="H38" s="71">
        <f t="shared" si="17"/>
        <v>0</v>
      </c>
    </row>
    <row r="39" spans="1:8" x14ac:dyDescent="0.2">
      <c r="A39" s="93" t="s">
        <v>48</v>
      </c>
      <c r="B39" s="77" t="s">
        <v>50</v>
      </c>
      <c r="C39" s="76">
        <f>'Main Tax Calculation Wksh'!G32</f>
        <v>0</v>
      </c>
      <c r="D39" s="76">
        <f t="shared" ref="D39:H39" si="18">$C$39</f>
        <v>0</v>
      </c>
      <c r="E39" s="76">
        <f t="shared" si="18"/>
        <v>0</v>
      </c>
      <c r="F39" s="76">
        <f t="shared" si="18"/>
        <v>0</v>
      </c>
      <c r="G39" s="76">
        <f t="shared" si="18"/>
        <v>0</v>
      </c>
      <c r="H39" s="76">
        <f t="shared" si="18"/>
        <v>0</v>
      </c>
    </row>
    <row r="40" spans="1:8" ht="13.5" x14ac:dyDescent="0.2">
      <c r="A40" s="92" t="s">
        <v>56</v>
      </c>
      <c r="B40" s="78" t="s">
        <v>51</v>
      </c>
      <c r="C40" s="80">
        <f>IF(C38*C39&lt;0,0,C38*C39)</f>
        <v>0</v>
      </c>
      <c r="D40" s="80">
        <f t="shared" ref="D40:H40" si="19">IF(D38*D39&lt;0,0,D38*D39)</f>
        <v>0</v>
      </c>
      <c r="E40" s="80">
        <f t="shared" si="19"/>
        <v>0</v>
      </c>
      <c r="F40" s="80">
        <f>IF(F38*F39&lt;0,0,ROUND(F38*F39,2))</f>
        <v>0</v>
      </c>
      <c r="G40" s="80">
        <f>IF(G38*G39&lt;0,0,ROUND(G38*G39,2))</f>
        <v>0</v>
      </c>
      <c r="H40" s="80">
        <f t="shared" si="19"/>
        <v>0</v>
      </c>
    </row>
    <row r="41" spans="1:8" x14ac:dyDescent="0.2">
      <c r="A41" s="75"/>
    </row>
    <row r="42" spans="1:8" ht="13.5" x14ac:dyDescent="0.2">
      <c r="A42" s="92" t="s">
        <v>18</v>
      </c>
      <c r="C42" s="80">
        <f>IF(AND('Main Tax Calculation Wksh'!B12="Y",'Main Tax Calculation Wksh'!B10&lt;25),60,0)</f>
        <v>0</v>
      </c>
      <c r="D42" s="80">
        <f t="shared" ref="D42:H42" si="20">$C$42</f>
        <v>0</v>
      </c>
      <c r="E42" s="80">
        <f t="shared" si="20"/>
        <v>0</v>
      </c>
      <c r="F42" s="80">
        <f t="shared" si="20"/>
        <v>0</v>
      </c>
      <c r="G42" s="80">
        <f t="shared" si="20"/>
        <v>0</v>
      </c>
      <c r="H42" s="80">
        <f t="shared" si="20"/>
        <v>0</v>
      </c>
    </row>
    <row r="43" spans="1:8" x14ac:dyDescent="0.2">
      <c r="A43" s="75"/>
    </row>
    <row r="44" spans="1:8" ht="13.5" x14ac:dyDescent="0.2">
      <c r="A44" s="94" t="s">
        <v>58</v>
      </c>
      <c r="C44" s="80">
        <f t="shared" ref="C44:H44" si="21">C$12+C$19+C$26+C$33+C$40+C$42</f>
        <v>0</v>
      </c>
      <c r="D44" s="80">
        <f t="shared" si="21"/>
        <v>0</v>
      </c>
      <c r="E44" s="80">
        <f t="shared" si="21"/>
        <v>0</v>
      </c>
      <c r="F44" s="80">
        <f t="shared" si="21"/>
        <v>0</v>
      </c>
      <c r="G44" s="80">
        <f t="shared" si="21"/>
        <v>0</v>
      </c>
      <c r="H44" s="80">
        <f t="shared" si="21"/>
        <v>0</v>
      </c>
    </row>
    <row r="45" spans="1:8" x14ac:dyDescent="0.2"/>
    <row r="47" spans="1:8" x14ac:dyDescent="0.2">
      <c r="A47" s="75"/>
    </row>
  </sheetData>
  <sheetProtection sheet="1" objects="1" scenarios="1"/>
  <conditionalFormatting sqref="A4:H4">
    <cfRule type="expression" dxfId="7" priority="83">
      <formula>#REF!&gt;0</formula>
    </cfRule>
  </conditionalFormatting>
  <conditionalFormatting sqref="C6:C44">
    <cfRule type="expression" dxfId="6" priority="109">
      <formula>$K$7=1</formula>
    </cfRule>
  </conditionalFormatting>
  <conditionalFormatting sqref="D6:D44">
    <cfRule type="expression" dxfId="5" priority="116">
      <formula>$K$8=1</formula>
    </cfRule>
  </conditionalFormatting>
  <conditionalFormatting sqref="D25:H25">
    <cfRule type="expression" dxfId="4" priority="126">
      <formula>#REF!=1</formula>
    </cfRule>
  </conditionalFormatting>
  <conditionalFormatting sqref="E6:E44">
    <cfRule type="expression" dxfId="3" priority="118">
      <formula>$K$9=1</formula>
    </cfRule>
  </conditionalFormatting>
  <conditionalFormatting sqref="F6:F44">
    <cfRule type="expression" dxfId="2" priority="119">
      <formula>$K$10=1</formula>
    </cfRule>
  </conditionalFormatting>
  <conditionalFormatting sqref="G6:G44">
    <cfRule type="expression" dxfId="1" priority="120">
      <formula>$K$11=1</formula>
    </cfRule>
  </conditionalFormatting>
  <conditionalFormatting sqref="H6:H44">
    <cfRule type="expression" dxfId="0" priority="121">
      <formula>$K$12=1</formula>
    </cfRule>
  </conditionalFormatting>
  <printOptions horizontalCentered="1" verticalCentered="1"/>
  <pageMargins left="0" right="0" top="0" bottom="0" header="0" footer="0"/>
  <pageSetup scale="7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Main Tax Calculation Wksh</vt:lpstr>
      <vt:lpstr>G'Town </vt:lpstr>
      <vt:lpstr>Harlem </vt:lpstr>
      <vt:lpstr>All Other Districts</vt:lpstr>
      <vt:lpstr>EXEMPTIONS</vt:lpstr>
      <vt:lpstr>MILLRATES</vt:lpstr>
      <vt:lpstr>'All Other Districts'!Print_Area</vt:lpstr>
      <vt:lpstr>'G''Town '!Print_Area</vt:lpstr>
      <vt:lpstr>'Harlem '!Print_Area</vt:lpstr>
      <vt:lpstr>'Main Tax Calculation Wksh'!Print_Area</vt:lpstr>
    </vt:vector>
  </TitlesOfParts>
  <Company>Columbia County, 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dhamilton</dc:creator>
  <cp:lastModifiedBy>Chong, Peter</cp:lastModifiedBy>
  <cp:lastPrinted>2022-05-26T18:09:29Z</cp:lastPrinted>
  <dcterms:created xsi:type="dcterms:W3CDTF">2009-01-05T15:25:58Z</dcterms:created>
  <dcterms:modified xsi:type="dcterms:W3CDTF">2025-08-22T17:54:58Z</dcterms:modified>
</cp:coreProperties>
</file>