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exley\Desktop\"/>
    </mc:Choice>
  </mc:AlternateContent>
  <bookViews>
    <workbookView xWindow="22931" yWindow="-109" windowWidth="23257" windowHeight="12580"/>
  </bookViews>
  <sheets>
    <sheet name="Design Tool" sheetId="3" r:id="rId1"/>
    <sheet name="Appendix I" sheetId="4" r:id="rId2"/>
  </sheets>
  <definedNames>
    <definedName name="_xlnm.Print_Area" localSheetId="0">'Design Tool'!$A$1:$G$61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3" l="1"/>
  <c r="B33" i="3" l="1"/>
  <c r="D36" i="3" s="1"/>
  <c r="E16" i="3"/>
  <c r="E15" i="3"/>
  <c r="F15" i="3" s="1"/>
  <c r="G15" i="3" s="1"/>
  <c r="E14" i="3"/>
  <c r="E13" i="3"/>
  <c r="F13" i="3" s="1"/>
  <c r="G13" i="3" s="1"/>
  <c r="E11" i="3"/>
  <c r="D37" i="3" l="1"/>
  <c r="E17" i="3"/>
  <c r="F11" i="3"/>
  <c r="G11" i="3" s="1"/>
  <c r="F16" i="3"/>
  <c r="G16" i="3" s="1"/>
  <c r="D35" i="3"/>
  <c r="F14" i="3"/>
  <c r="G14" i="3" s="1"/>
  <c r="D38" i="3" l="1"/>
  <c r="C40" i="3" s="1"/>
  <c r="C41" i="3" s="1"/>
  <c r="G17" i="3"/>
  <c r="C20" i="3" s="1"/>
  <c r="F17" i="3"/>
  <c r="C19" i="3" s="1"/>
  <c r="C42" i="3" l="1"/>
  <c r="C43" i="3" s="1"/>
  <c r="C48" i="3"/>
  <c r="C27" i="3"/>
  <c r="C21" i="3"/>
  <c r="C49" i="3" l="1"/>
  <c r="C50" i="3" s="1"/>
  <c r="C51" i="3" s="1"/>
  <c r="C22" i="3"/>
  <c r="C28" i="3" s="1"/>
  <c r="C29" i="3" s="1"/>
  <c r="C52" i="3" l="1"/>
  <c r="B55" i="3" s="1"/>
  <c r="B60" i="3" l="1"/>
  <c r="C55" i="3"/>
  <c r="B59" i="3"/>
  <c r="E59" i="3" l="1"/>
  <c r="D59" i="3"/>
  <c r="C59" i="3"/>
  <c r="F59" i="3"/>
  <c r="F60" i="3"/>
  <c r="C60" i="3"/>
  <c r="D60" i="3"/>
  <c r="E60" i="3"/>
</calcChain>
</file>

<file path=xl/sharedStrings.xml><?xml version="1.0" encoding="utf-8"?>
<sst xmlns="http://schemas.openxmlformats.org/spreadsheetml/2006/main" count="218" uniqueCount="106">
  <si>
    <t>Bus</t>
  </si>
  <si>
    <t>`</t>
  </si>
  <si>
    <t>Vehicle Type</t>
  </si>
  <si>
    <t>Number of Vehicles</t>
  </si>
  <si>
    <t>Number of Trips per Day</t>
  </si>
  <si>
    <t>Growth Rate</t>
  </si>
  <si>
    <t>Passenger Cars</t>
  </si>
  <si>
    <t>3 per Lot</t>
  </si>
  <si>
    <t>2 trips per Lane</t>
  </si>
  <si>
    <t>Single-Unit Trucks (S.U.)</t>
  </si>
  <si>
    <t>2-Axle</t>
  </si>
  <si>
    <t>1 trip per Lane</t>
  </si>
  <si>
    <t>3-Axle</t>
  </si>
  <si>
    <t>Multi-Unit Trucks (M.U.)</t>
  </si>
  <si>
    <t>2 per Lot</t>
  </si>
  <si>
    <t>4 trips over 20-year design period</t>
  </si>
  <si>
    <t>N/A</t>
  </si>
  <si>
    <t>Initial ADT</t>
  </si>
  <si>
    <t>Final ADT</t>
  </si>
  <si>
    <t xml:space="preserve">LOT SIZE: </t>
  </si>
  <si>
    <t>TOTAL ADT</t>
  </si>
  <si>
    <t>DESIGN ADT =</t>
  </si>
  <si>
    <t>Design ADT</t>
  </si>
  <si>
    <t>S.U. Truck % =</t>
  </si>
  <si>
    <t>24-Hour Truck % =</t>
  </si>
  <si>
    <t>M.U. Truck % =</t>
  </si>
  <si>
    <t xml:space="preserve">LDF = </t>
  </si>
  <si>
    <t>S.U. ESAL Factor =</t>
  </si>
  <si>
    <t>M.U. ESAL Factor =</t>
  </si>
  <si>
    <t xml:space="preserve">Design ADTT = </t>
  </si>
  <si>
    <t xml:space="preserve">18-Kip ESAL Factor = </t>
  </si>
  <si>
    <t xml:space="preserve">Design TDL = </t>
  </si>
  <si>
    <t>Design Traffic</t>
  </si>
  <si>
    <t>Construction Traffic</t>
  </si>
  <si>
    <t>4 trips per Lane</t>
  </si>
  <si>
    <t>15 per Lot</t>
  </si>
  <si>
    <t>Total Construction period</t>
  </si>
  <si>
    <t>Construction ADT =</t>
  </si>
  <si>
    <t>(360 + 720 + 0.5) =</t>
  </si>
  <si>
    <t xml:space="preserve">(720+0.5)/1080 = </t>
  </si>
  <si>
    <t>(0.1)/1080 =</t>
  </si>
  <si>
    <t>(720)/1080 =</t>
  </si>
  <si>
    <t xml:space="preserve">Construction ADTT = </t>
  </si>
  <si>
    <t xml:space="preserve">Construction TDL = </t>
  </si>
  <si>
    <t>Construction TDL Conversion =</t>
  </si>
  <si>
    <t>TOTAL TDL =</t>
  </si>
  <si>
    <t>Appendix 1:</t>
  </si>
  <si>
    <r>
      <t xml:space="preserve">GUIDELINES </t>
    </r>
    <r>
      <rPr>
        <sz val="12"/>
        <color rgb="FF161616"/>
        <rFont val="Arial"/>
        <family val="2"/>
      </rPr>
      <t>FOR PAVEMENT SELECTION</t>
    </r>
  </si>
  <si>
    <t>Table 1: Project Pavement Selection Sections</t>
  </si>
  <si>
    <t>Soil Support Value (SSV)</t>
  </si>
  <si>
    <t>Regional Factor</t>
  </si>
  <si>
    <t>Total Daily Loadings</t>
  </si>
  <si>
    <t>Pavement Section</t>
  </si>
  <si>
    <t>Pavement Section w/ Cement Stabilized Sub-Grade</t>
  </si>
  <si>
    <t>&lt; 16</t>
  </si>
  <si>
    <t>A-6</t>
  </si>
  <si>
    <t>17 to 28</t>
  </si>
  <si>
    <t>A-8</t>
  </si>
  <si>
    <t>29 to 65</t>
  </si>
  <si>
    <t>A-10</t>
  </si>
  <si>
    <t>66 to 127</t>
  </si>
  <si>
    <t>B-10</t>
  </si>
  <si>
    <t>128 to 249</t>
  </si>
  <si>
    <t>C-8</t>
  </si>
  <si>
    <t>B-6</t>
  </si>
  <si>
    <t>&lt; 9</t>
  </si>
  <si>
    <t>10 to 16</t>
  </si>
  <si>
    <t>B-12</t>
  </si>
  <si>
    <t>C-10</t>
  </si>
  <si>
    <t>B-8</t>
  </si>
  <si>
    <t>&lt; 5</t>
  </si>
  <si>
    <t>6 to 9</t>
  </si>
  <si>
    <t>A-12</t>
  </si>
  <si>
    <t>C-12</t>
  </si>
  <si>
    <t>C-6</t>
  </si>
  <si>
    <t>D-12</t>
  </si>
  <si>
    <t>D-10</t>
  </si>
  <si>
    <t>E-8</t>
  </si>
  <si>
    <t>D-8</t>
  </si>
  <si>
    <t xml:space="preserve">Table 2: Pavement Section Codes for Asphaltic Concrete Pavement Thicknesses </t>
  </si>
  <si>
    <t>Pavement Section Code</t>
  </si>
  <si>
    <t>Total Asphaltic Concrete Thickness (inches)</t>
  </si>
  <si>
    <t>19mm SP (In.)</t>
  </si>
  <si>
    <t>25mm SP (In.)</t>
  </si>
  <si>
    <t>A</t>
  </si>
  <si>
    <t>B</t>
  </si>
  <si>
    <t>C</t>
  </si>
  <si>
    <t>D</t>
  </si>
  <si>
    <t>E</t>
  </si>
  <si>
    <t>9.5 mm SP Type II* (In.)</t>
  </si>
  <si>
    <t>TDL Range</t>
  </si>
  <si>
    <t>Pavement Section:</t>
  </si>
  <si>
    <t>Total Asphaltic Concrete Thickness (in.)</t>
  </si>
  <si>
    <t>9.5mm SP Type II (in.)</t>
  </si>
  <si>
    <t>19mm SP (in.)</t>
  </si>
  <si>
    <t>25mm SP (in.)</t>
  </si>
  <si>
    <t xml:space="preserve">SOIL SUPPORT VALUE (SSV) : </t>
  </si>
  <si>
    <t>TOTAL  DAILY LOADING (TDL):</t>
  </si>
  <si>
    <t>Pavement Section with Cement Stabilized Sub-Grade:</t>
  </si>
  <si>
    <t>OUTPUT CELLS</t>
  </si>
  <si>
    <t>INPUT CELLS</t>
  </si>
  <si>
    <t>PAVEMENT DESIGN TOOL</t>
  </si>
  <si>
    <t>Engineering Services Divison</t>
  </si>
  <si>
    <t>Columbia County Board of Commissioners</t>
  </si>
  <si>
    <r>
      <t xml:space="preserve">PAVEMENT SELECTION </t>
    </r>
    <r>
      <rPr>
        <sz val="9"/>
        <color theme="1"/>
        <rFont val="Calibri"/>
        <family val="2"/>
        <scheme val="minor"/>
      </rPr>
      <t>(as per Appendix I)</t>
    </r>
  </si>
  <si>
    <t>LEGEND: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</si>
</sst>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343434"/>
      <name val="Times New Roman"/>
      <family val="1"/>
    </font>
    <font>
      <sz val="12"/>
      <color rgb="FF343434"/>
      <name val="Times New Roman"/>
      <family val="1"/>
    </font>
    <font>
      <sz val="12"/>
      <color theme="1"/>
      <name val="Arial"/>
      <family val="2"/>
    </font>
    <font>
      <sz val="12"/>
      <color rgb="FF161616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9.5"/>
      <color rgb="FF161616"/>
      <name val="Arial"/>
      <family val="2"/>
    </font>
    <font>
      <sz val="9.5"/>
      <color theme="1"/>
      <name val="Arial"/>
      <family val="2"/>
    </font>
    <font>
      <sz val="9.5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1F1F1F"/>
      <name val="Arial"/>
      <family val="2"/>
    </font>
    <font>
      <sz val="11"/>
      <color rgb="FF0C0C0C"/>
      <name val="Arial"/>
      <family val="2"/>
    </font>
    <font>
      <sz val="11"/>
      <color rgb="FF2A2A2A"/>
      <name val="Arial"/>
      <family val="2"/>
    </font>
    <font>
      <sz val="11"/>
      <color rgb="FF0F0F0F"/>
      <name val="Arial"/>
      <family val="2"/>
    </font>
    <font>
      <sz val="11"/>
      <color rgb="FF000000"/>
      <name val="Arial"/>
      <family val="2"/>
    </font>
    <font>
      <sz val="11"/>
      <color rgb="FF232323"/>
      <name val="Arial"/>
      <family val="2"/>
    </font>
    <font>
      <sz val="11"/>
      <color rgb="FF131313"/>
      <name val="Arial"/>
      <family val="2"/>
    </font>
    <font>
      <sz val="11"/>
      <color rgb="FF2B2B2B"/>
      <name val="Arial"/>
      <family val="2"/>
    </font>
    <font>
      <sz val="11"/>
      <color rgb="FF111111"/>
      <name val="Arial"/>
      <family val="2"/>
    </font>
    <font>
      <sz val="11"/>
      <color rgb="FF161616"/>
      <name val="Arial"/>
      <family val="2"/>
    </font>
    <font>
      <sz val="11"/>
      <color rgb="FF3A3A3A"/>
      <name val="Arial"/>
      <family val="2"/>
    </font>
    <font>
      <sz val="9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Times New Roman"/>
      <family val="1"/>
    </font>
    <font>
      <u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3B3B3B"/>
      </left>
      <right style="medium">
        <color rgb="FF3B3B3B"/>
      </right>
      <top style="medium">
        <color rgb="FF3B3B3B"/>
      </top>
      <bottom/>
      <diagonal/>
    </border>
    <border>
      <left/>
      <right style="medium">
        <color rgb="FF3B3B3B"/>
      </right>
      <top style="medium">
        <color rgb="FF3B3B3B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3B3B3B"/>
      </right>
      <top style="medium">
        <color indexed="64"/>
      </top>
      <bottom style="medium">
        <color rgb="FF3B3B3B"/>
      </bottom>
      <diagonal/>
    </border>
    <border>
      <left/>
      <right style="medium">
        <color rgb="FF3B3B3B"/>
      </right>
      <top/>
      <bottom style="medium">
        <color rgb="FF3B3B3B"/>
      </bottom>
      <diagonal/>
    </border>
    <border>
      <left/>
      <right style="medium">
        <color rgb="FF3B3B3B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3B3B3B"/>
      </bottom>
      <diagonal/>
    </border>
    <border>
      <left/>
      <right style="medium">
        <color indexed="64"/>
      </right>
      <top/>
      <bottom style="medium">
        <color rgb="FF383838"/>
      </bottom>
      <diagonal/>
    </border>
    <border>
      <left/>
      <right/>
      <top/>
      <bottom style="medium">
        <color rgb="FF3B3B3B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3F3F3F"/>
      </right>
      <top style="medium">
        <color indexed="64"/>
      </top>
      <bottom/>
      <diagonal/>
    </border>
    <border>
      <left style="medium">
        <color indexed="64"/>
      </left>
      <right style="medium">
        <color rgb="FF3F3F3F"/>
      </right>
      <top/>
      <bottom style="medium">
        <color indexed="64"/>
      </bottom>
      <diagonal/>
    </border>
    <border>
      <left/>
      <right style="medium">
        <color rgb="FF3F3F3F"/>
      </right>
      <top/>
      <bottom style="medium">
        <color indexed="64"/>
      </bottom>
      <diagonal/>
    </border>
    <border>
      <left style="medium">
        <color indexed="64"/>
      </left>
      <right style="medium">
        <color rgb="FF3F3F3F"/>
      </right>
      <top/>
      <bottom style="medium">
        <color rgb="FF3F3F3F"/>
      </bottom>
      <diagonal/>
    </border>
    <border>
      <left/>
      <right style="medium">
        <color rgb="FF3F3F3F"/>
      </right>
      <top/>
      <bottom style="medium">
        <color rgb="FF3F3F3F"/>
      </bottom>
      <diagonal/>
    </border>
    <border>
      <left/>
      <right/>
      <top/>
      <bottom style="medium">
        <color rgb="FF3F3F3F"/>
      </bottom>
      <diagonal/>
    </border>
    <border>
      <left style="medium">
        <color rgb="FF3F3F3F"/>
      </left>
      <right style="medium">
        <color rgb="FF3F3F3F"/>
      </right>
      <top style="medium">
        <color indexed="64"/>
      </top>
      <bottom/>
      <diagonal/>
    </border>
    <border>
      <left style="medium">
        <color rgb="FF3F3F3F"/>
      </left>
      <right style="medium">
        <color rgb="FF3F3F3F"/>
      </right>
      <top/>
      <bottom style="medium">
        <color indexed="64"/>
      </bottom>
      <diagonal/>
    </border>
    <border>
      <left style="medium">
        <color rgb="FF3F3F3F"/>
      </left>
      <right style="medium">
        <color indexed="64"/>
      </right>
      <top style="medium">
        <color indexed="64"/>
      </top>
      <bottom/>
      <diagonal/>
    </border>
    <border>
      <left style="medium">
        <color rgb="FF3F3F3F"/>
      </left>
      <right style="medium">
        <color indexed="64"/>
      </right>
      <top/>
      <bottom style="medium">
        <color indexed="64"/>
      </bottom>
      <diagonal/>
    </border>
    <border>
      <left style="medium">
        <color rgb="FF3B3B3B"/>
      </left>
      <right/>
      <top style="medium">
        <color rgb="FF3B3B3B"/>
      </top>
      <bottom style="medium">
        <color indexed="64"/>
      </bottom>
      <diagonal/>
    </border>
    <border>
      <left/>
      <right style="medium">
        <color rgb="FF3B3B3B"/>
      </right>
      <top style="medium">
        <color rgb="FF3B3B3B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3" fontId="0" fillId="0" borderId="0" xfId="0" applyNumberFormat="1"/>
    <xf numFmtId="0" fontId="3" fillId="3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right" wrapText="1"/>
    </xf>
    <xf numFmtId="0" fontId="0" fillId="4" borderId="6" xfId="0" applyFill="1" applyBorder="1" applyAlignment="1">
      <alignment horizontal="right"/>
    </xf>
    <xf numFmtId="0" fontId="0" fillId="2" borderId="7" xfId="0" applyFill="1" applyBorder="1" applyAlignment="1">
      <alignment horizontal="right"/>
    </xf>
    <xf numFmtId="0" fontId="0" fillId="2" borderId="5" xfId="0" applyFill="1" applyBorder="1"/>
    <xf numFmtId="0" fontId="0" fillId="2" borderId="2" xfId="0" applyFill="1" applyBorder="1"/>
    <xf numFmtId="0" fontId="0" fillId="0" borderId="8" xfId="0" applyBorder="1" applyAlignment="1">
      <alignment horizontal="right"/>
    </xf>
    <xf numFmtId="1" fontId="0" fillId="0" borderId="9" xfId="0" applyNumberFormat="1" applyBorder="1"/>
    <xf numFmtId="0" fontId="0" fillId="0" borderId="10" xfId="0" applyBorder="1" applyAlignment="1">
      <alignment horizontal="right"/>
    </xf>
    <xf numFmtId="10" fontId="0" fillId="0" borderId="11" xfId="1" applyNumberFormat="1" applyFont="1" applyBorder="1"/>
    <xf numFmtId="164" fontId="0" fillId="0" borderId="11" xfId="0" applyNumberFormat="1" applyBorder="1"/>
    <xf numFmtId="0" fontId="0" fillId="0" borderId="11" xfId="0" applyBorder="1"/>
    <xf numFmtId="0" fontId="0" fillId="0" borderId="12" xfId="0" applyBorder="1" applyAlignment="1">
      <alignment horizontal="right"/>
    </xf>
    <xf numFmtId="0" fontId="0" fillId="4" borderId="13" xfId="0" applyFill="1" applyBorder="1" applyAlignment="1">
      <alignment horizontal="right"/>
    </xf>
    <xf numFmtId="0" fontId="0" fillId="0" borderId="14" xfId="0" applyBorder="1"/>
    <xf numFmtId="164" fontId="0" fillId="0" borderId="9" xfId="0" applyNumberFormat="1" applyBorder="1"/>
    <xf numFmtId="0" fontId="0" fillId="0" borderId="10" xfId="0" applyFill="1" applyBorder="1" applyAlignment="1">
      <alignment horizontal="right"/>
    </xf>
    <xf numFmtId="2" fontId="0" fillId="0" borderId="11" xfId="0" applyNumberFormat="1" applyBorder="1"/>
    <xf numFmtId="0" fontId="2" fillId="0" borderId="12" xfId="0" applyFont="1" applyFill="1" applyBorder="1" applyAlignment="1">
      <alignment horizontal="right"/>
    </xf>
    <xf numFmtId="0" fontId="3" fillId="3" borderId="5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15" xfId="0" applyBorder="1"/>
    <xf numFmtId="0" fontId="0" fillId="0" borderId="17" xfId="0" applyBorder="1" applyAlignment="1">
      <alignment horizontal="right"/>
    </xf>
    <xf numFmtId="0" fontId="0" fillId="4" borderId="18" xfId="0" applyFill="1" applyBorder="1" applyAlignment="1">
      <alignment horizontal="right" wrapText="1"/>
    </xf>
    <xf numFmtId="0" fontId="0" fillId="0" borderId="16" xfId="0" applyBorder="1"/>
    <xf numFmtId="0" fontId="0" fillId="4" borderId="19" xfId="0" applyFill="1" applyBorder="1" applyAlignment="1">
      <alignment horizontal="right"/>
    </xf>
    <xf numFmtId="0" fontId="2" fillId="6" borderId="1" xfId="0" applyFont="1" applyFill="1" applyBorder="1" applyAlignment="1">
      <alignment horizontal="center"/>
    </xf>
    <xf numFmtId="1" fontId="2" fillId="2" borderId="1" xfId="0" applyNumberFormat="1" applyFont="1" applyFill="1" applyBorder="1"/>
    <xf numFmtId="164" fontId="2" fillId="7" borderId="14" xfId="0" applyNumberFormat="1" applyFont="1" applyFill="1" applyBorder="1"/>
    <xf numFmtId="164" fontId="2" fillId="7" borderId="1" xfId="0" applyNumberFormat="1" applyFont="1" applyFill="1" applyBorder="1"/>
    <xf numFmtId="0" fontId="2" fillId="0" borderId="1" xfId="0" applyFont="1" applyFill="1" applyBorder="1" applyAlignment="1">
      <alignment horizontal="right"/>
    </xf>
    <xf numFmtId="0" fontId="0" fillId="0" borderId="0" xfId="0" applyAlignment="1">
      <alignment vertical="top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top"/>
    </xf>
    <xf numFmtId="0" fontId="15" fillId="0" borderId="35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19" fillId="0" borderId="3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164" fontId="2" fillId="7" borderId="1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right" vertical="center" wrapText="1"/>
    </xf>
    <xf numFmtId="0" fontId="27" fillId="0" borderId="0" xfId="0" applyFont="1" applyAlignment="1">
      <alignment horizontal="center"/>
    </xf>
    <xf numFmtId="0" fontId="28" fillId="0" borderId="6" xfId="0" applyFont="1" applyBorder="1"/>
    <xf numFmtId="0" fontId="29" fillId="6" borderId="6" xfId="0" applyFont="1" applyFill="1" applyBorder="1" applyAlignment="1">
      <alignment horizontal="left"/>
    </xf>
    <xf numFmtId="164" fontId="29" fillId="7" borderId="6" xfId="0" applyNumberFormat="1" applyFont="1" applyFill="1" applyBorder="1"/>
    <xf numFmtId="0" fontId="2" fillId="5" borderId="7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/>
    </xf>
    <xf numFmtId="0" fontId="30" fillId="0" borderId="0" xfId="0" applyFont="1" applyFill="1" applyAlignment="1">
      <alignment horizontal="center"/>
    </xf>
    <xf numFmtId="0" fontId="31" fillId="0" borderId="0" xfId="0" applyFont="1" applyAlignment="1">
      <alignment horizontal="center"/>
    </xf>
    <xf numFmtId="0" fontId="14" fillId="0" borderId="40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30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0" fillId="0" borderId="16" xfId="0" applyBorder="1" applyAlignment="1">
      <alignment vertical="top"/>
    </xf>
    <xf numFmtId="0" fontId="14" fillId="0" borderId="32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3">
    <dxf>
      <font>
        <strike val="0"/>
        <color rgb="FFC00000"/>
      </font>
      <fill>
        <patternFill>
          <bgColor rgb="FFFFB7B7"/>
        </patternFill>
      </fill>
    </dxf>
    <dxf>
      <font>
        <strike val="0"/>
        <color rgb="FFC00000"/>
      </font>
      <fill>
        <patternFill>
          <bgColor rgb="FFFFB7B7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B7B7"/>
      <color rgb="FFFF97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abSelected="1" view="pageBreakPreview" zoomScaleNormal="100" zoomScaleSheetLayoutView="100" workbookViewId="0">
      <selection activeCell="A5" sqref="A5"/>
    </sheetView>
  </sheetViews>
  <sheetFormatPr defaultRowHeight="14.3" x14ac:dyDescent="0.25"/>
  <cols>
    <col min="1" max="1" width="28.625" customWidth="1"/>
    <col min="2" max="2" width="21.5" customWidth="1"/>
    <col min="3" max="3" width="17.125" customWidth="1"/>
    <col min="4" max="4" width="12.125" customWidth="1"/>
    <col min="5" max="5" width="9.5" bestFit="1" customWidth="1"/>
    <col min="6" max="6" width="10.5" customWidth="1"/>
    <col min="7" max="7" width="11.375" customWidth="1"/>
    <col min="9" max="9" width="10.625" customWidth="1"/>
    <col min="10" max="10" width="13.375" customWidth="1"/>
    <col min="11" max="11" width="12.5" customWidth="1"/>
    <col min="12" max="12" width="12.875" style="1" customWidth="1"/>
  </cols>
  <sheetData>
    <row r="1" spans="1:7" ht="15.65" x14ac:dyDescent="0.25">
      <c r="A1" s="97" t="s">
        <v>101</v>
      </c>
      <c r="B1" s="97"/>
      <c r="C1" s="97"/>
      <c r="D1" s="97"/>
      <c r="E1" s="97"/>
      <c r="F1" s="97"/>
      <c r="G1" s="97"/>
    </row>
    <row r="2" spans="1:7" ht="15.65" x14ac:dyDescent="0.25">
      <c r="A2" s="98" t="s">
        <v>102</v>
      </c>
      <c r="B2" s="98"/>
      <c r="C2" s="98"/>
      <c r="D2" s="98"/>
      <c r="E2" s="98"/>
      <c r="F2" s="98"/>
      <c r="G2" s="98"/>
    </row>
    <row r="3" spans="1:7" ht="15.65" x14ac:dyDescent="0.25">
      <c r="A3" s="98" t="s">
        <v>103</v>
      </c>
      <c r="B3" s="98"/>
      <c r="C3" s="98"/>
      <c r="D3" s="98"/>
      <c r="E3" s="98"/>
      <c r="F3" s="98"/>
      <c r="G3" s="98"/>
    </row>
    <row r="4" spans="1:7" x14ac:dyDescent="0.25">
      <c r="A4" s="89" t="s">
        <v>105</v>
      </c>
    </row>
    <row r="5" spans="1:7" x14ac:dyDescent="0.25">
      <c r="A5" s="90" t="s">
        <v>100</v>
      </c>
    </row>
    <row r="6" spans="1:7" x14ac:dyDescent="0.25">
      <c r="A6" s="91" t="s">
        <v>99</v>
      </c>
    </row>
    <row r="7" spans="1:7" ht="14.95" thickBot="1" x14ac:dyDescent="0.3"/>
    <row r="8" spans="1:7" ht="14.95" thickBot="1" x14ac:dyDescent="0.3">
      <c r="A8" s="92" t="s">
        <v>32</v>
      </c>
      <c r="B8" s="93"/>
    </row>
    <row r="9" spans="1:7" ht="14.95" thickBot="1" x14ac:dyDescent="0.3">
      <c r="A9" s="7" t="s">
        <v>19</v>
      </c>
      <c r="B9" s="41">
        <v>200</v>
      </c>
    </row>
    <row r="10" spans="1:7" ht="31.95" thickBot="1" x14ac:dyDescent="0.3">
      <c r="A10" s="2" t="s">
        <v>2</v>
      </c>
      <c r="B10" s="8" t="s">
        <v>3</v>
      </c>
      <c r="C10" s="8" t="s">
        <v>4</v>
      </c>
      <c r="D10" s="8" t="s">
        <v>5</v>
      </c>
      <c r="E10" s="8" t="s">
        <v>17</v>
      </c>
      <c r="F10" s="8" t="s">
        <v>18</v>
      </c>
      <c r="G10" s="8" t="s">
        <v>22</v>
      </c>
    </row>
    <row r="11" spans="1:7" ht="16.3" thickBot="1" x14ac:dyDescent="0.3">
      <c r="A11" s="6" t="s">
        <v>6</v>
      </c>
      <c r="B11" s="3" t="s">
        <v>7</v>
      </c>
      <c r="C11" s="3" t="s">
        <v>8</v>
      </c>
      <c r="D11" s="4">
        <v>0.02</v>
      </c>
      <c r="E11" s="3">
        <f>B9*3*2</f>
        <v>1200</v>
      </c>
      <c r="F11" s="10">
        <f>E11*(1+D11)^(20)</f>
        <v>1783.1368751740251</v>
      </c>
      <c r="G11" s="10">
        <f>AVERAGE(E11,F11)</f>
        <v>1491.5684375870126</v>
      </c>
    </row>
    <row r="12" spans="1:7" ht="16.3" thickBot="1" x14ac:dyDescent="0.3">
      <c r="A12" s="6" t="s">
        <v>9</v>
      </c>
      <c r="B12" s="11"/>
      <c r="C12" s="11"/>
      <c r="D12" s="11"/>
      <c r="E12" s="11"/>
      <c r="F12" s="11"/>
      <c r="G12" s="12"/>
    </row>
    <row r="13" spans="1:7" ht="16.3" thickBot="1" x14ac:dyDescent="0.3">
      <c r="A13" s="5" t="s">
        <v>0</v>
      </c>
      <c r="B13" s="3">
        <v>3</v>
      </c>
      <c r="C13" s="3" t="s">
        <v>8</v>
      </c>
      <c r="D13" s="4">
        <v>0.02</v>
      </c>
      <c r="E13" s="3">
        <f>6</f>
        <v>6</v>
      </c>
      <c r="F13" s="10">
        <f>E13*(1+D13)^(20)</f>
        <v>8.915684375870125</v>
      </c>
      <c r="G13" s="10">
        <f>AVERAGE(E13,F13)</f>
        <v>7.4578421879350625</v>
      </c>
    </row>
    <row r="14" spans="1:7" ht="16.3" thickBot="1" x14ac:dyDescent="0.3">
      <c r="A14" s="5" t="s">
        <v>10</v>
      </c>
      <c r="B14" s="3">
        <v>3</v>
      </c>
      <c r="C14" s="3" t="s">
        <v>11</v>
      </c>
      <c r="D14" s="4">
        <v>0.02</v>
      </c>
      <c r="E14" s="3">
        <f>3</f>
        <v>3</v>
      </c>
      <c r="F14" s="10">
        <f>E14*(1+D14)^(20)</f>
        <v>4.4578421879350625</v>
      </c>
      <c r="G14" s="10">
        <f>AVERAGE(E14,F14)</f>
        <v>3.7289210939675312</v>
      </c>
    </row>
    <row r="15" spans="1:7" ht="16.3" thickBot="1" x14ac:dyDescent="0.3">
      <c r="A15" s="5" t="s">
        <v>12</v>
      </c>
      <c r="B15" s="3">
        <v>1</v>
      </c>
      <c r="C15" s="3" t="s">
        <v>11</v>
      </c>
      <c r="D15" s="4">
        <v>0.02</v>
      </c>
      <c r="E15" s="3">
        <f>1</f>
        <v>1</v>
      </c>
      <c r="F15" s="10">
        <f>E15*(1+D15)^(20)</f>
        <v>1.4859473959783542</v>
      </c>
      <c r="G15" s="10">
        <f t="shared" ref="G15:G16" si="0">AVERAGE(E15,F15)</f>
        <v>1.2429736979891772</v>
      </c>
    </row>
    <row r="16" spans="1:7" ht="47.55" thickBot="1" x14ac:dyDescent="0.3">
      <c r="A16" s="6" t="s">
        <v>13</v>
      </c>
      <c r="B16" s="3" t="s">
        <v>14</v>
      </c>
      <c r="C16" s="3" t="s">
        <v>15</v>
      </c>
      <c r="D16" s="3" t="s">
        <v>16</v>
      </c>
      <c r="E16" s="9">
        <f>(B9*2*4)/(20*365)</f>
        <v>0.21917808219178081</v>
      </c>
      <c r="F16" s="9">
        <f>E16</f>
        <v>0.21917808219178081</v>
      </c>
      <c r="G16" s="9">
        <f t="shared" si="0"/>
        <v>0.21917808219178081</v>
      </c>
    </row>
    <row r="17" spans="1:7" ht="16.3" thickBot="1" x14ac:dyDescent="0.3">
      <c r="B17" s="36"/>
      <c r="C17" s="94" t="s">
        <v>20</v>
      </c>
      <c r="D17" s="95"/>
      <c r="E17" s="42">
        <f>SUM(E11:E16)</f>
        <v>1210.2191780821918</v>
      </c>
      <c r="F17" s="42">
        <f>SUM(F11:F16)</f>
        <v>1798.2155272160005</v>
      </c>
      <c r="G17" s="42">
        <f>SUM(G13:G16,G11)</f>
        <v>1504.217352649096</v>
      </c>
    </row>
    <row r="18" spans="1:7" ht="14.95" thickBot="1" x14ac:dyDescent="0.3">
      <c r="A18" s="39"/>
      <c r="B18" s="39"/>
    </row>
    <row r="19" spans="1:7" x14ac:dyDescent="0.25">
      <c r="A19" s="37" t="s">
        <v>21</v>
      </c>
      <c r="B19" s="38"/>
      <c r="C19" s="19">
        <f>AVERAGE(E17,F17)</f>
        <v>1504.217352649096</v>
      </c>
    </row>
    <row r="20" spans="1:7" x14ac:dyDescent="0.25">
      <c r="A20" s="20" t="s">
        <v>24</v>
      </c>
      <c r="B20" s="13"/>
      <c r="C20" s="21">
        <f>(G13+G14+G15+G16)/G17</f>
        <v>8.4089676533829275E-3</v>
      </c>
      <c r="F20" t="s">
        <v>1</v>
      </c>
    </row>
    <row r="21" spans="1:7" x14ac:dyDescent="0.25">
      <c r="A21" s="20" t="s">
        <v>23</v>
      </c>
      <c r="B21" s="13"/>
      <c r="C21" s="21">
        <f xml:space="preserve"> (G13+G14+G15)/G17</f>
        <v>8.2632586028884743E-3</v>
      </c>
    </row>
    <row r="22" spans="1:7" x14ac:dyDescent="0.25">
      <c r="A22" s="20" t="s">
        <v>25</v>
      </c>
      <c r="B22" s="13"/>
      <c r="C22" s="21">
        <f>C20-C21</f>
        <v>1.4570905049445318E-4</v>
      </c>
    </row>
    <row r="23" spans="1:7" x14ac:dyDescent="0.25">
      <c r="A23" s="20" t="s">
        <v>26</v>
      </c>
      <c r="B23" s="13"/>
      <c r="C23" s="22">
        <v>1</v>
      </c>
    </row>
    <row r="24" spans="1:7" x14ac:dyDescent="0.25">
      <c r="A24" s="20" t="s">
        <v>27</v>
      </c>
      <c r="B24" s="14"/>
      <c r="C24" s="23">
        <v>0.4</v>
      </c>
    </row>
    <row r="25" spans="1:7" ht="14.95" thickBot="1" x14ac:dyDescent="0.3">
      <c r="A25" s="24" t="s">
        <v>28</v>
      </c>
      <c r="B25" s="25"/>
      <c r="C25" s="26">
        <v>1.5</v>
      </c>
    </row>
    <row r="26" spans="1:7" ht="14.95" thickBot="1" x14ac:dyDescent="0.3">
      <c r="A26" s="15"/>
      <c r="B26" s="16"/>
      <c r="C26" s="17"/>
    </row>
    <row r="27" spans="1:7" ht="14.95" thickBot="1" x14ac:dyDescent="0.3">
      <c r="A27" s="18" t="s">
        <v>29</v>
      </c>
      <c r="B27" s="25"/>
      <c r="C27" s="27">
        <f>C19*C20</f>
        <v>12.648915062083548</v>
      </c>
    </row>
    <row r="28" spans="1:7" ht="31.6" customHeight="1" thickBot="1" x14ac:dyDescent="0.3">
      <c r="A28" s="28" t="s">
        <v>30</v>
      </c>
      <c r="B28" s="25"/>
      <c r="C28" s="29">
        <f>((C21/C20)*C24)+((C22/C20)*1.5)</f>
        <v>0.41906059841714555</v>
      </c>
    </row>
    <row r="29" spans="1:7" ht="14.95" thickBot="1" x14ac:dyDescent="0.3">
      <c r="A29" s="30" t="s">
        <v>31</v>
      </c>
      <c r="B29" s="25"/>
      <c r="C29" s="43">
        <f>C27*C23*C28</f>
        <v>5.300661915244377</v>
      </c>
    </row>
    <row r="31" spans="1:7" ht="14.95" thickBot="1" x14ac:dyDescent="0.3"/>
    <row r="32" spans="1:7" ht="14.95" thickBot="1" x14ac:dyDescent="0.3">
      <c r="A32" s="92" t="s">
        <v>33</v>
      </c>
      <c r="B32" s="93"/>
    </row>
    <row r="33" spans="1:6" ht="14.95" thickBot="1" x14ac:dyDescent="0.3">
      <c r="A33" s="7" t="s">
        <v>19</v>
      </c>
      <c r="B33" s="35">
        <f>B9</f>
        <v>200</v>
      </c>
    </row>
    <row r="34" spans="1:6" ht="31.95" thickBot="1" x14ac:dyDescent="0.3">
      <c r="A34" s="2" t="s">
        <v>2</v>
      </c>
      <c r="B34" s="34" t="s">
        <v>3</v>
      </c>
      <c r="C34" s="8" t="s">
        <v>4</v>
      </c>
      <c r="D34" s="8" t="s">
        <v>22</v>
      </c>
    </row>
    <row r="35" spans="1:6" ht="16.3" thickBot="1" x14ac:dyDescent="0.3">
      <c r="A35" s="6" t="s">
        <v>6</v>
      </c>
      <c r="B35" s="3" t="s">
        <v>7</v>
      </c>
      <c r="C35" s="3" t="s">
        <v>8</v>
      </c>
      <c r="D35" s="10">
        <f>B33*3*2/5</f>
        <v>240</v>
      </c>
    </row>
    <row r="36" spans="1:6" ht="16.3" thickBot="1" x14ac:dyDescent="0.3">
      <c r="A36" s="6" t="s">
        <v>9</v>
      </c>
      <c r="B36" s="32" t="s">
        <v>7</v>
      </c>
      <c r="C36" s="32" t="s">
        <v>34</v>
      </c>
      <c r="D36" s="33">
        <f>B33*3*4/5</f>
        <v>480</v>
      </c>
    </row>
    <row r="37" spans="1:6" ht="47.55" thickBot="1" x14ac:dyDescent="0.3">
      <c r="A37" s="6" t="s">
        <v>13</v>
      </c>
      <c r="B37" s="3" t="s">
        <v>35</v>
      </c>
      <c r="C37" s="3" t="s">
        <v>36</v>
      </c>
      <c r="D37" s="9">
        <f>(B33*15)/(5*365)</f>
        <v>1.6438356164383561</v>
      </c>
    </row>
    <row r="38" spans="1:6" ht="16.3" thickBot="1" x14ac:dyDescent="0.3">
      <c r="B38" s="36"/>
      <c r="C38" s="31" t="s">
        <v>20</v>
      </c>
      <c r="D38" s="42">
        <f>SUM(D35:D37)</f>
        <v>721.64383561643831</v>
      </c>
    </row>
    <row r="39" spans="1:6" ht="14.95" thickBot="1" x14ac:dyDescent="0.3">
      <c r="B39" s="39"/>
    </row>
    <row r="40" spans="1:6" ht="14.95" thickBot="1" x14ac:dyDescent="0.3">
      <c r="A40" s="18" t="s">
        <v>37</v>
      </c>
      <c r="B40" s="40" t="s">
        <v>38</v>
      </c>
      <c r="C40" s="19">
        <f>D38</f>
        <v>721.64383561643831</v>
      </c>
    </row>
    <row r="41" spans="1:6" ht="14.95" thickBot="1" x14ac:dyDescent="0.3">
      <c r="A41" s="20" t="s">
        <v>24</v>
      </c>
      <c r="B41" s="25" t="s">
        <v>39</v>
      </c>
      <c r="C41" s="21">
        <f>(D36+D37)/C40</f>
        <v>0.66742596810933952</v>
      </c>
      <c r="F41" t="s">
        <v>1</v>
      </c>
    </row>
    <row r="42" spans="1:6" ht="14.95" thickBot="1" x14ac:dyDescent="0.3">
      <c r="A42" s="20" t="s">
        <v>23</v>
      </c>
      <c r="B42" s="25" t="s">
        <v>41</v>
      </c>
      <c r="C42" s="21">
        <f>D36/C40</f>
        <v>0.66514806378132119</v>
      </c>
    </row>
    <row r="43" spans="1:6" ht="14.95" thickBot="1" x14ac:dyDescent="0.3">
      <c r="A43" s="20" t="s">
        <v>25</v>
      </c>
      <c r="B43" s="25" t="s">
        <v>40</v>
      </c>
      <c r="C43" s="21">
        <f>C41-C42</f>
        <v>2.277904328018332E-3</v>
      </c>
    </row>
    <row r="44" spans="1:6" x14ac:dyDescent="0.25">
      <c r="A44" s="20" t="s">
        <v>26</v>
      </c>
      <c r="B44" s="13"/>
      <c r="C44" s="22">
        <v>1</v>
      </c>
    </row>
    <row r="45" spans="1:6" x14ac:dyDescent="0.25">
      <c r="A45" s="20" t="s">
        <v>27</v>
      </c>
      <c r="B45" s="14"/>
      <c r="C45" s="23">
        <v>0.4</v>
      </c>
    </row>
    <row r="46" spans="1:6" ht="14.95" thickBot="1" x14ac:dyDescent="0.3">
      <c r="A46" s="24" t="s">
        <v>28</v>
      </c>
      <c r="B46" s="25"/>
      <c r="C46" s="26">
        <v>1.5</v>
      </c>
    </row>
    <row r="47" spans="1:6" ht="14.95" thickBot="1" x14ac:dyDescent="0.3">
      <c r="A47" s="15"/>
      <c r="B47" s="16"/>
      <c r="C47" s="17"/>
    </row>
    <row r="48" spans="1:6" ht="14.95" thickBot="1" x14ac:dyDescent="0.3">
      <c r="A48" s="18" t="s">
        <v>42</v>
      </c>
      <c r="B48" s="25"/>
      <c r="C48" s="27">
        <f>C40*C41</f>
        <v>481.64383561643842</v>
      </c>
    </row>
    <row r="49" spans="1:7" ht="14.95" thickBot="1" x14ac:dyDescent="0.3">
      <c r="A49" s="28" t="s">
        <v>30</v>
      </c>
      <c r="B49" s="25"/>
      <c r="C49" s="29">
        <f>((C42/C41)*C45)+((C43/C41)*1.5)</f>
        <v>0.40375426621160432</v>
      </c>
    </row>
    <row r="50" spans="1:7" ht="14.95" thickBot="1" x14ac:dyDescent="0.3">
      <c r="A50" s="30" t="s">
        <v>43</v>
      </c>
      <c r="B50" s="25"/>
      <c r="C50" s="43">
        <f>C48*C49*C44</f>
        <v>194.46575342465766</v>
      </c>
    </row>
    <row r="51" spans="1:7" ht="14.95" thickBot="1" x14ac:dyDescent="0.3">
      <c r="A51" s="30" t="s">
        <v>44</v>
      </c>
      <c r="B51" s="25"/>
      <c r="C51" s="43">
        <f>C50/4</f>
        <v>48.616438356164416</v>
      </c>
    </row>
    <row r="52" spans="1:7" ht="14.95" thickBot="1" x14ac:dyDescent="0.3">
      <c r="A52" s="45" t="s">
        <v>45</v>
      </c>
      <c r="B52" s="25"/>
      <c r="C52" s="44">
        <f>C51+C29</f>
        <v>53.917100271408792</v>
      </c>
    </row>
    <row r="53" spans="1:7" ht="14.95" thickBot="1" x14ac:dyDescent="0.3"/>
    <row r="54" spans="1:7" ht="14.95" thickBot="1" x14ac:dyDescent="0.3">
      <c r="A54" s="7" t="s">
        <v>96</v>
      </c>
      <c r="B54" s="41">
        <v>3.5</v>
      </c>
      <c r="C54" s="88" t="str">
        <f>IF(OR(B54&gt;4.5,B54&lt;2),"Invalid SSV","")</f>
        <v/>
      </c>
    </row>
    <row r="55" spans="1:7" ht="14.95" thickBot="1" x14ac:dyDescent="0.3">
      <c r="A55" s="7" t="s">
        <v>97</v>
      </c>
      <c r="B55" s="86">
        <f>C52</f>
        <v>53.917100271408792</v>
      </c>
      <c r="C55" s="88" t="str">
        <f>IF(B55&gt;MAX('Appendix I'!C5:D42),"TDL out of limit","")</f>
        <v/>
      </c>
    </row>
    <row r="56" spans="1:7" ht="14.95" thickBot="1" x14ac:dyDescent="0.3"/>
    <row r="57" spans="1:7" ht="14.95" thickBot="1" x14ac:dyDescent="0.3">
      <c r="A57" s="92" t="s">
        <v>104</v>
      </c>
      <c r="B57" s="96"/>
      <c r="C57" s="96"/>
      <c r="D57" s="96"/>
      <c r="E57" s="96"/>
      <c r="F57" s="93"/>
    </row>
    <row r="58" spans="1:7" ht="47.55" thickBot="1" x14ac:dyDescent="0.3">
      <c r="A58" s="2"/>
      <c r="B58" s="2" t="s">
        <v>52</v>
      </c>
      <c r="C58" s="2" t="s">
        <v>92</v>
      </c>
      <c r="D58" s="2" t="s">
        <v>93</v>
      </c>
      <c r="E58" s="2" t="s">
        <v>94</v>
      </c>
      <c r="F58" s="2" t="s">
        <v>95</v>
      </c>
    </row>
    <row r="59" spans="1:7" ht="16.3" thickBot="1" x14ac:dyDescent="0.3">
      <c r="A59" s="87" t="s">
        <v>91</v>
      </c>
      <c r="B59" s="32" t="str">
        <f>IF(AND(B55&lt;=MAX('Appendix I'!C5:D42),(B55&gt;=MIN('Appendix I'!C5:D42))),IF($B$54='Appendix I'!$A$5,VLOOKUP('Design Tool'!$B$55,'Appendix I'!$C$5:$G$9,4,TRUE),IF($B$54='Appendix I'!$A$10,VLOOKUP('Design Tool'!$B$55,'Appendix I'!$C$10:$G$15,4,TRUE),IF($B$54='Appendix I'!$A$16,VLOOKUP('Design Tool'!$B$55,'Appendix I'!$C$16:$G$22,4,TRUE),IF($B$54='Appendix I'!$A$23,VLOOKUP('Design Tool'!$B$55,'Appendix I'!$C$23:$G$28,4,TRUE),IF($B$54='Appendix I'!$A$29,VLOOKUP('Design Tool'!$B$55,'Appendix I'!$C$29:$G$35,4,TRUE),IF($B$54='Appendix I'!$A$36,VLOOKUP('Design Tool'!$B$55,'Appendix I'!$C$36:$G$42,4,TRUE),"INVALID SSV")))))),"TDL OUT OF LIMIT")</f>
        <v>B-12</v>
      </c>
      <c r="C59" s="32">
        <f>IF(AND(B59&lt;&gt;"TDL OUT OF LIMIT",B59&lt;&gt;"INVALID SSV"),VLOOKUP(LEFT('Design Tool'!B59,1),'Appendix I'!$I$6:$M$10,2,TRUE),"")</f>
        <v>4.25</v>
      </c>
      <c r="D59" s="32">
        <f>IF(AND(B59&lt;&gt;"TDL OUT OF LIMIT",B59&lt;&gt;"INVALID SSV"),VLOOKUP(LEFT('Design Tool'!B59,1),'Appendix I'!$I$6:$M$10,3,TRUE),"")</f>
        <v>1.25</v>
      </c>
      <c r="E59" s="32">
        <f>IF(AND(B59&lt;&gt;"TDL OUT OF LIMIT",B59&lt;&gt;"INVALID SSV"),VLOOKUP(LEFT('Design Tool'!B59,1),'Appendix I'!$I$6:$M$10,4,TRUE),"")</f>
        <v>3</v>
      </c>
      <c r="F59" s="32">
        <f>IF(AND(B59&lt;&gt;"TDL OUT OF LIMIT",B59&lt;&gt;"INVALID SSV"),VLOOKUP(LEFT('Design Tool'!B59,1),'Appendix I'!$I$6:$M$10,5,TRUE),"")</f>
        <v>0</v>
      </c>
      <c r="G59" s="85"/>
    </row>
    <row r="60" spans="1:7" ht="47.55" thickBot="1" x14ac:dyDescent="0.3">
      <c r="A60" s="87" t="s">
        <v>98</v>
      </c>
      <c r="B60" s="32" t="str">
        <f>IF(AND(B55&lt;=MAX('Appendix I'!C5:D42),(B55&gt;=MIN('Appendix I'!C5:D42))),IF($B$54='Appendix I'!$A$5,VLOOKUP('Design Tool'!$B$55,'Appendix I'!$C$5:$G$9,5,TRUE),IF($B$54='Appendix I'!$A$10,VLOOKUP('Design Tool'!$B$55,'Appendix I'!$C$10:$G$15,5,TRUE),IF($B$54='Appendix I'!$A$16,VLOOKUP('Design Tool'!$B$55,'Appendix I'!$C$16:$G$22,5,TRUE),IF($B$54='Appendix I'!$A$23,VLOOKUP('Design Tool'!$B$55,'Appendix I'!$C$23:$G$28,5,TRUE),IF($B$54='Appendix I'!$A$29,VLOOKUP('Design Tool'!$B$55,'Appendix I'!$C$29:$G$35,5,TRUE),IF($B$54='Appendix I'!$A$36,VLOOKUP('Design Tool'!$B$55,'Appendix I'!$C$36:$G$42,5,TRUE),"INVALID SSV")))))),"TDL OUT OF LIMIT")</f>
        <v>A-8</v>
      </c>
      <c r="C60" s="32">
        <f>IF(AND(B60&lt;&gt;"TDL OUT OF LIMIT",B60&lt;&gt;"INVALID SSV"),VLOOKUP(LEFT('Design Tool'!B60,1),'Appendix I'!$I$6:$M$10,2,TRUE),"")</f>
        <v>3.25</v>
      </c>
      <c r="D60" s="32">
        <f>IF(AND(B60&lt;&gt;"TDL OUT OF LIMIT",B60&lt;&gt;"INVALID SSV"),VLOOKUP(LEFT('Design Tool'!B60,1),'Appendix I'!$I$6:$M$10,3,TRUE),"")</f>
        <v>1.25</v>
      </c>
      <c r="E60" s="32">
        <f>IF(AND(B60&lt;&gt;"TDL OUT OF LIMIT",B60&lt;&gt;"INVALID SSV"),VLOOKUP(LEFT('Design Tool'!B60,1),'Appendix I'!$I$6:$M$10,4,TRUE),"")</f>
        <v>2</v>
      </c>
      <c r="F60" s="32">
        <f>IF(AND(B60&lt;&gt;"TDL OUT OF LIMIT",B60&lt;&gt;"INVALID SSV"),VLOOKUP(LEFT('Design Tool'!B60,1),'Appendix I'!$I$6:$M$10,5,TRUE),"")</f>
        <v>0</v>
      </c>
      <c r="G60" s="85"/>
    </row>
  </sheetData>
  <sheetProtection algorithmName="SHA-512" hashValue="sdw97cD09vQDGFm3ZBAl6L8fS7iaYnGnaYB8S35r0Utae618jS+80UUQjSWFbmrxggEo/JGQJ9Qw6UlUo4I2uQ==" saltValue="yfiSQXISR3QWP3F3A1p+Jg==" spinCount="100000" sheet="1" formatCells="0" formatColumns="0" formatRows="0" insertColumns="0" insertRows="0" insertHyperlinks="0" deleteColumns="0" deleteRows="0" sort="0" autoFilter="0" pivotTables="0"/>
  <protectedRanges>
    <protectedRange sqref="B9 B54" name="User Input"/>
  </protectedRanges>
  <mergeCells count="7">
    <mergeCell ref="A8:B8"/>
    <mergeCell ref="C17:D17"/>
    <mergeCell ref="A32:B32"/>
    <mergeCell ref="A57:F57"/>
    <mergeCell ref="A1:G1"/>
    <mergeCell ref="A2:G2"/>
    <mergeCell ref="A3:G3"/>
  </mergeCells>
  <conditionalFormatting sqref="B54">
    <cfRule type="cellIs" dxfId="2" priority="1" operator="notBetween">
      <formula>2</formula>
      <formula>4.5</formula>
    </cfRule>
  </conditionalFormatting>
  <pageMargins left="0.7" right="0.7" top="0.75" bottom="0.75" header="0.3" footer="0.3"/>
  <pageSetup scale="75" orientation="portrait" r:id="rId1"/>
  <rowBreaks count="1" manualBreakCount="1">
    <brk id="52" max="6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B3C4A5EE-3A22-4105-BDB8-E3D44FD7B330}">
            <xm:f>NOT(ISERROR(SEARCH("INVALID SSV",B59)))</xm:f>
            <xm:f>"INVALID SSV"</xm:f>
            <x14:dxf>
              <font>
                <strike val="0"/>
                <color rgb="FFC00000"/>
              </font>
              <fill>
                <patternFill>
                  <bgColor rgb="FFFFB7B7"/>
                </patternFill>
              </fill>
            </x14:dxf>
          </x14:cfRule>
          <x14:cfRule type="containsText" priority="5" operator="containsText" id="{5CCA4D68-8007-4C50-951D-DC6EFCFEF486}">
            <xm:f>NOT(ISERROR(SEARCH("TDL OUT OF LIMIT",B59)))</xm:f>
            <xm:f>"TDL OUT OF LIMIT"</xm:f>
            <x14:dxf>
              <font>
                <strike val="0"/>
                <color rgb="FFC00000"/>
              </font>
              <fill>
                <patternFill>
                  <bgColor rgb="FFFFB7B7"/>
                </patternFill>
              </fill>
            </x14:dxf>
          </x14:cfRule>
          <xm:sqref>B59:B60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view="pageBreakPreview" zoomScaleNormal="100" zoomScaleSheetLayoutView="100" workbookViewId="0">
      <selection activeCell="A10" sqref="A10:A15"/>
    </sheetView>
  </sheetViews>
  <sheetFormatPr defaultRowHeight="14.3" x14ac:dyDescent="0.25"/>
  <cols>
    <col min="1" max="1" width="11.625" customWidth="1"/>
    <col min="2" max="2" width="12" customWidth="1"/>
    <col min="3" max="4" width="4" customWidth="1"/>
    <col min="5" max="5" width="15" customWidth="1"/>
    <col min="6" max="6" width="12.5" customWidth="1"/>
    <col min="7" max="7" width="26.625" customWidth="1"/>
    <col min="9" max="9" width="16.375" customWidth="1"/>
    <col min="10" max="10" width="26.5" customWidth="1"/>
    <col min="11" max="11" width="30.25" customWidth="1"/>
    <col min="12" max="12" width="13.5" customWidth="1"/>
    <col min="13" max="13" width="12.625" customWidth="1"/>
  </cols>
  <sheetData>
    <row r="1" spans="1:15" ht="14.95" customHeight="1" x14ac:dyDescent="0.25">
      <c r="A1" s="61" t="s">
        <v>46</v>
      </c>
      <c r="B1" s="61"/>
      <c r="C1" s="61"/>
      <c r="D1" s="61"/>
      <c r="E1" s="61"/>
      <c r="F1" s="62"/>
      <c r="G1" s="62"/>
    </row>
    <row r="2" spans="1:15" ht="14.95" customHeight="1" x14ac:dyDescent="0.25">
      <c r="A2" s="61" t="s">
        <v>47</v>
      </c>
      <c r="B2" s="61"/>
      <c r="C2" s="61"/>
      <c r="D2" s="61"/>
      <c r="E2" s="61"/>
      <c r="F2" s="62"/>
      <c r="G2" s="62"/>
    </row>
    <row r="3" spans="1:15" ht="14.95" thickBot="1" x14ac:dyDescent="0.3">
      <c r="A3" s="111" t="s">
        <v>48</v>
      </c>
      <c r="B3" s="111"/>
      <c r="C3" s="111"/>
      <c r="D3" s="111"/>
      <c r="E3" s="111"/>
      <c r="F3" s="46"/>
      <c r="G3" s="46"/>
      <c r="I3" s="112" t="s">
        <v>79</v>
      </c>
      <c r="J3" s="112"/>
      <c r="K3" s="112"/>
      <c r="L3" s="113"/>
      <c r="M3" s="113"/>
      <c r="N3" s="46"/>
      <c r="O3" s="46"/>
    </row>
    <row r="4" spans="1:15" ht="41.45" thickBot="1" x14ac:dyDescent="0.3">
      <c r="A4" s="47" t="s">
        <v>49</v>
      </c>
      <c r="B4" s="48" t="s">
        <v>50</v>
      </c>
      <c r="C4" s="101" t="s">
        <v>90</v>
      </c>
      <c r="D4" s="102"/>
      <c r="E4" s="48" t="s">
        <v>51</v>
      </c>
      <c r="F4" s="48" t="s">
        <v>52</v>
      </c>
      <c r="G4" s="48" t="s">
        <v>53</v>
      </c>
      <c r="I4" s="114" t="s">
        <v>80</v>
      </c>
      <c r="J4" s="116" t="s">
        <v>81</v>
      </c>
      <c r="K4" s="99" t="s">
        <v>89</v>
      </c>
      <c r="L4" s="103" t="s">
        <v>82</v>
      </c>
      <c r="M4" s="103" t="s">
        <v>83</v>
      </c>
      <c r="N4" s="76"/>
      <c r="O4" s="76"/>
    </row>
    <row r="5" spans="1:15" ht="14.95" thickBot="1" x14ac:dyDescent="0.3">
      <c r="A5" s="124">
        <v>4.5</v>
      </c>
      <c r="B5" s="124">
        <v>1.6</v>
      </c>
      <c r="C5" s="82">
        <v>0</v>
      </c>
      <c r="D5" s="82">
        <v>16</v>
      </c>
      <c r="E5" s="49" t="s">
        <v>54</v>
      </c>
      <c r="F5" s="50" t="s">
        <v>55</v>
      </c>
      <c r="G5" s="50" t="s">
        <v>55</v>
      </c>
      <c r="I5" s="115"/>
      <c r="J5" s="117"/>
      <c r="K5" s="100"/>
      <c r="L5" s="104"/>
      <c r="M5" s="104"/>
      <c r="N5" s="76"/>
      <c r="O5" s="76"/>
    </row>
    <row r="6" spans="1:15" ht="14.95" thickBot="1" x14ac:dyDescent="0.3">
      <c r="A6" s="119"/>
      <c r="B6" s="119"/>
      <c r="C6" s="82">
        <v>17</v>
      </c>
      <c r="D6" s="82">
        <v>28</v>
      </c>
      <c r="E6" s="51" t="s">
        <v>56</v>
      </c>
      <c r="F6" s="52" t="s">
        <v>57</v>
      </c>
      <c r="G6" s="52" t="s">
        <v>55</v>
      </c>
      <c r="I6" s="63" t="s">
        <v>84</v>
      </c>
      <c r="J6" s="81">
        <v>3.25</v>
      </c>
      <c r="K6" s="64">
        <v>1.25</v>
      </c>
      <c r="L6" s="65">
        <v>2</v>
      </c>
      <c r="M6" s="65">
        <v>0</v>
      </c>
      <c r="N6" s="77"/>
      <c r="O6" s="77"/>
    </row>
    <row r="7" spans="1:15" ht="14.95" thickBot="1" x14ac:dyDescent="0.3">
      <c r="A7" s="119"/>
      <c r="B7" s="119"/>
      <c r="C7" s="82">
        <v>29</v>
      </c>
      <c r="D7" s="82">
        <v>65</v>
      </c>
      <c r="E7" s="51" t="s">
        <v>58</v>
      </c>
      <c r="F7" s="52" t="s">
        <v>59</v>
      </c>
      <c r="G7" s="52" t="s">
        <v>55</v>
      </c>
      <c r="I7" s="66" t="s">
        <v>85</v>
      </c>
      <c r="J7" s="81">
        <v>4.25</v>
      </c>
      <c r="K7" s="67">
        <v>1.25</v>
      </c>
      <c r="L7" s="68">
        <v>3</v>
      </c>
      <c r="M7" s="68">
        <v>0</v>
      </c>
      <c r="N7" s="78"/>
      <c r="O7" s="78"/>
    </row>
    <row r="8" spans="1:15" ht="14.95" thickBot="1" x14ac:dyDescent="0.3">
      <c r="A8" s="119"/>
      <c r="B8" s="119"/>
      <c r="C8" s="82">
        <v>66</v>
      </c>
      <c r="D8" s="82">
        <v>127</v>
      </c>
      <c r="E8" s="51" t="s">
        <v>60</v>
      </c>
      <c r="F8" s="52" t="s">
        <v>61</v>
      </c>
      <c r="G8" s="52" t="s">
        <v>57</v>
      </c>
      <c r="I8" s="69" t="s">
        <v>86</v>
      </c>
      <c r="J8" s="81">
        <v>6.25</v>
      </c>
      <c r="K8" s="67">
        <v>1.25</v>
      </c>
      <c r="L8" s="70">
        <v>2</v>
      </c>
      <c r="M8" s="70">
        <v>3</v>
      </c>
      <c r="N8" s="79"/>
      <c r="O8" s="79"/>
    </row>
    <row r="9" spans="1:15" ht="14.95" thickBot="1" x14ac:dyDescent="0.3">
      <c r="A9" s="120"/>
      <c r="B9" s="120"/>
      <c r="C9" s="82">
        <v>128</v>
      </c>
      <c r="D9" s="82">
        <v>249</v>
      </c>
      <c r="E9" s="53" t="s">
        <v>62</v>
      </c>
      <c r="F9" s="54" t="s">
        <v>63</v>
      </c>
      <c r="G9" s="55" t="s">
        <v>64</v>
      </c>
      <c r="I9" s="71" t="s">
        <v>87</v>
      </c>
      <c r="J9" s="81">
        <v>7.25</v>
      </c>
      <c r="K9" s="67">
        <v>1.25</v>
      </c>
      <c r="L9" s="72">
        <v>2</v>
      </c>
      <c r="M9" s="72">
        <v>4</v>
      </c>
      <c r="N9" s="78"/>
      <c r="O9" s="78"/>
    </row>
    <row r="10" spans="1:15" ht="14.95" thickBot="1" x14ac:dyDescent="0.3">
      <c r="A10" s="118">
        <v>4</v>
      </c>
      <c r="B10" s="108">
        <v>1.6</v>
      </c>
      <c r="C10" s="83">
        <v>0</v>
      </c>
      <c r="D10" s="83">
        <v>9</v>
      </c>
      <c r="E10" s="56" t="s">
        <v>65</v>
      </c>
      <c r="F10" s="57" t="s">
        <v>55</v>
      </c>
      <c r="G10" s="58" t="s">
        <v>55</v>
      </c>
      <c r="I10" s="73" t="s">
        <v>88</v>
      </c>
      <c r="J10" s="74">
        <v>9.25</v>
      </c>
      <c r="K10" s="74">
        <v>1.25</v>
      </c>
      <c r="L10" s="75">
        <v>2</v>
      </c>
      <c r="M10" s="75">
        <v>6</v>
      </c>
      <c r="N10" s="80"/>
      <c r="O10" s="80"/>
    </row>
    <row r="11" spans="1:15" ht="14.95" thickBot="1" x14ac:dyDescent="0.3">
      <c r="A11" s="119"/>
      <c r="B11" s="109"/>
      <c r="C11" s="83">
        <v>10</v>
      </c>
      <c r="D11" s="83">
        <v>16</v>
      </c>
      <c r="E11" s="51" t="s">
        <v>66</v>
      </c>
      <c r="F11" s="57" t="s">
        <v>57</v>
      </c>
      <c r="G11" s="58" t="s">
        <v>55</v>
      </c>
    </row>
    <row r="12" spans="1:15" ht="14.95" thickBot="1" x14ac:dyDescent="0.3">
      <c r="A12" s="119"/>
      <c r="B12" s="109"/>
      <c r="C12" s="83">
        <v>17</v>
      </c>
      <c r="D12" s="83">
        <v>28</v>
      </c>
      <c r="E12" s="51" t="s">
        <v>56</v>
      </c>
      <c r="F12" s="57" t="s">
        <v>59</v>
      </c>
      <c r="G12" s="58" t="s">
        <v>55</v>
      </c>
    </row>
    <row r="13" spans="1:15" ht="14.95" thickBot="1" x14ac:dyDescent="0.3">
      <c r="A13" s="119"/>
      <c r="B13" s="109"/>
      <c r="C13" s="83">
        <v>29</v>
      </c>
      <c r="D13" s="83">
        <v>65</v>
      </c>
      <c r="E13" s="51" t="s">
        <v>58</v>
      </c>
      <c r="F13" s="57" t="s">
        <v>61</v>
      </c>
      <c r="G13" s="58" t="s">
        <v>55</v>
      </c>
    </row>
    <row r="14" spans="1:15" ht="14.95" thickBot="1" x14ac:dyDescent="0.3">
      <c r="A14" s="119"/>
      <c r="B14" s="109"/>
      <c r="C14" s="83">
        <v>66</v>
      </c>
      <c r="D14" s="83">
        <v>127</v>
      </c>
      <c r="E14" s="51" t="s">
        <v>60</v>
      </c>
      <c r="F14" s="57" t="s">
        <v>67</v>
      </c>
      <c r="G14" s="58" t="s">
        <v>57</v>
      </c>
    </row>
    <row r="15" spans="1:15" ht="14.95" thickBot="1" x14ac:dyDescent="0.3">
      <c r="A15" s="120"/>
      <c r="B15" s="110"/>
      <c r="C15" s="83">
        <v>128</v>
      </c>
      <c r="D15" s="83">
        <v>249</v>
      </c>
      <c r="E15" s="53" t="s">
        <v>62</v>
      </c>
      <c r="F15" s="53" t="s">
        <v>68</v>
      </c>
      <c r="G15" s="52" t="s">
        <v>69</v>
      </c>
    </row>
    <row r="16" spans="1:15" ht="14.95" thickBot="1" x14ac:dyDescent="0.3">
      <c r="A16" s="105">
        <v>3.5</v>
      </c>
      <c r="B16" s="108">
        <v>1.6</v>
      </c>
      <c r="C16" s="83">
        <v>0</v>
      </c>
      <c r="D16" s="83">
        <v>5</v>
      </c>
      <c r="E16" s="56" t="s">
        <v>70</v>
      </c>
      <c r="F16" s="57" t="s">
        <v>55</v>
      </c>
      <c r="G16" s="58" t="s">
        <v>55</v>
      </c>
    </row>
    <row r="17" spans="1:7" ht="14.95" thickBot="1" x14ac:dyDescent="0.3">
      <c r="A17" s="106"/>
      <c r="B17" s="109"/>
      <c r="C17" s="83">
        <v>6</v>
      </c>
      <c r="D17" s="83">
        <v>9</v>
      </c>
      <c r="E17" s="51" t="s">
        <v>71</v>
      </c>
      <c r="F17" s="57" t="s">
        <v>57</v>
      </c>
      <c r="G17" s="58" t="s">
        <v>55</v>
      </c>
    </row>
    <row r="18" spans="1:7" ht="14.95" thickBot="1" x14ac:dyDescent="0.3">
      <c r="A18" s="106"/>
      <c r="B18" s="109"/>
      <c r="C18" s="83">
        <v>10</v>
      </c>
      <c r="D18" s="83">
        <v>16</v>
      </c>
      <c r="E18" s="51" t="s">
        <v>66</v>
      </c>
      <c r="F18" s="57" t="s">
        <v>64</v>
      </c>
      <c r="G18" s="58" t="s">
        <v>55</v>
      </c>
    </row>
    <row r="19" spans="1:7" ht="14.95" thickBot="1" x14ac:dyDescent="0.3">
      <c r="A19" s="106"/>
      <c r="B19" s="109"/>
      <c r="C19" s="83">
        <v>17</v>
      </c>
      <c r="D19" s="83">
        <v>28</v>
      </c>
      <c r="E19" s="51" t="s">
        <v>56</v>
      </c>
      <c r="F19" s="57" t="s">
        <v>69</v>
      </c>
      <c r="G19" s="58" t="s">
        <v>55</v>
      </c>
    </row>
    <row r="20" spans="1:7" ht="14.95" thickBot="1" x14ac:dyDescent="0.3">
      <c r="A20" s="106"/>
      <c r="B20" s="109"/>
      <c r="C20" s="83">
        <v>29</v>
      </c>
      <c r="D20" s="83">
        <v>65</v>
      </c>
      <c r="E20" s="51" t="s">
        <v>58</v>
      </c>
      <c r="F20" s="57" t="s">
        <v>67</v>
      </c>
      <c r="G20" s="58" t="s">
        <v>57</v>
      </c>
    </row>
    <row r="21" spans="1:7" ht="14.95" thickBot="1" x14ac:dyDescent="0.3">
      <c r="A21" s="106"/>
      <c r="B21" s="109"/>
      <c r="C21" s="83">
        <v>66</v>
      </c>
      <c r="D21" s="83">
        <v>127</v>
      </c>
      <c r="E21" s="51" t="s">
        <v>60</v>
      </c>
      <c r="F21" s="57" t="s">
        <v>63</v>
      </c>
      <c r="G21" s="58" t="s">
        <v>69</v>
      </c>
    </row>
    <row r="22" spans="1:7" ht="14.95" thickBot="1" x14ac:dyDescent="0.3">
      <c r="A22" s="107"/>
      <c r="B22" s="110"/>
      <c r="C22" s="83">
        <v>128</v>
      </c>
      <c r="D22" s="83">
        <v>249</v>
      </c>
      <c r="E22" s="53" t="s">
        <v>62</v>
      </c>
      <c r="F22" s="53" t="s">
        <v>68</v>
      </c>
      <c r="G22" s="52" t="s">
        <v>61</v>
      </c>
    </row>
    <row r="23" spans="1:7" ht="14.95" thickBot="1" x14ac:dyDescent="0.3">
      <c r="A23" s="118">
        <v>3</v>
      </c>
      <c r="B23" s="121">
        <v>1.6</v>
      </c>
      <c r="C23" s="84">
        <v>0</v>
      </c>
      <c r="D23" s="84">
        <v>9</v>
      </c>
      <c r="E23" s="56" t="s">
        <v>65</v>
      </c>
      <c r="F23" s="51" t="s">
        <v>57</v>
      </c>
      <c r="G23" s="59" t="s">
        <v>55</v>
      </c>
    </row>
    <row r="24" spans="1:7" ht="14.95" thickBot="1" x14ac:dyDescent="0.3">
      <c r="A24" s="119"/>
      <c r="B24" s="122"/>
      <c r="C24" s="84">
        <v>10</v>
      </c>
      <c r="D24" s="84">
        <v>16</v>
      </c>
      <c r="E24" s="51" t="s">
        <v>66</v>
      </c>
      <c r="F24" s="51" t="s">
        <v>59</v>
      </c>
      <c r="G24" s="59" t="s">
        <v>55</v>
      </c>
    </row>
    <row r="25" spans="1:7" ht="14.95" thickBot="1" x14ac:dyDescent="0.3">
      <c r="A25" s="119"/>
      <c r="B25" s="122"/>
      <c r="C25" s="84">
        <v>17</v>
      </c>
      <c r="D25" s="84">
        <v>28</v>
      </c>
      <c r="E25" s="51" t="s">
        <v>56</v>
      </c>
      <c r="F25" s="51" t="s">
        <v>72</v>
      </c>
      <c r="G25" s="59" t="s">
        <v>55</v>
      </c>
    </row>
    <row r="26" spans="1:7" ht="14.95" thickBot="1" x14ac:dyDescent="0.3">
      <c r="A26" s="119"/>
      <c r="B26" s="122"/>
      <c r="C26" s="84">
        <v>29</v>
      </c>
      <c r="D26" s="84">
        <v>65</v>
      </c>
      <c r="E26" s="51" t="s">
        <v>58</v>
      </c>
      <c r="F26" s="51" t="s">
        <v>67</v>
      </c>
      <c r="G26" s="59" t="s">
        <v>64</v>
      </c>
    </row>
    <row r="27" spans="1:7" ht="14.95" thickBot="1" x14ac:dyDescent="0.3">
      <c r="A27" s="119"/>
      <c r="B27" s="122"/>
      <c r="C27" s="84">
        <v>66</v>
      </c>
      <c r="D27" s="84">
        <v>127</v>
      </c>
      <c r="E27" s="51" t="s">
        <v>60</v>
      </c>
      <c r="F27" s="51" t="s">
        <v>68</v>
      </c>
      <c r="G27" s="59" t="s">
        <v>69</v>
      </c>
    </row>
    <row r="28" spans="1:7" ht="14.95" thickBot="1" x14ac:dyDescent="0.3">
      <c r="A28" s="120"/>
      <c r="B28" s="123"/>
      <c r="C28" s="84">
        <v>128</v>
      </c>
      <c r="D28" s="84">
        <v>249</v>
      </c>
      <c r="E28" s="53" t="s">
        <v>62</v>
      </c>
      <c r="F28" s="53" t="s">
        <v>73</v>
      </c>
      <c r="G28" s="52" t="s">
        <v>74</v>
      </c>
    </row>
    <row r="29" spans="1:7" ht="14.95" thickBot="1" x14ac:dyDescent="0.3">
      <c r="A29" s="105">
        <v>2.5</v>
      </c>
      <c r="B29" s="108">
        <v>1.6</v>
      </c>
      <c r="C29" s="83">
        <v>0</v>
      </c>
      <c r="D29" s="83">
        <v>5</v>
      </c>
      <c r="E29" s="56" t="s">
        <v>70</v>
      </c>
      <c r="F29" s="60" t="s">
        <v>57</v>
      </c>
      <c r="G29" s="60" t="s">
        <v>55</v>
      </c>
    </row>
    <row r="30" spans="1:7" ht="14.95" thickBot="1" x14ac:dyDescent="0.3">
      <c r="A30" s="106"/>
      <c r="B30" s="109"/>
      <c r="C30" s="83">
        <v>6</v>
      </c>
      <c r="D30" s="83">
        <v>9</v>
      </c>
      <c r="E30" s="51" t="s">
        <v>71</v>
      </c>
      <c r="F30" s="60" t="s">
        <v>59</v>
      </c>
      <c r="G30" s="60" t="s">
        <v>55</v>
      </c>
    </row>
    <row r="31" spans="1:7" ht="14.95" thickBot="1" x14ac:dyDescent="0.3">
      <c r="A31" s="106"/>
      <c r="B31" s="109"/>
      <c r="C31" s="83">
        <v>10</v>
      </c>
      <c r="D31" s="83">
        <v>16</v>
      </c>
      <c r="E31" s="51" t="s">
        <v>66</v>
      </c>
      <c r="F31" s="60" t="s">
        <v>72</v>
      </c>
      <c r="G31" s="60" t="s">
        <v>55</v>
      </c>
    </row>
    <row r="32" spans="1:7" ht="14.95" thickBot="1" x14ac:dyDescent="0.3">
      <c r="A32" s="106"/>
      <c r="B32" s="109"/>
      <c r="C32" s="83">
        <v>17</v>
      </c>
      <c r="D32" s="83">
        <v>28</v>
      </c>
      <c r="E32" s="51" t="s">
        <v>56</v>
      </c>
      <c r="F32" s="60" t="s">
        <v>67</v>
      </c>
      <c r="G32" s="60" t="s">
        <v>57</v>
      </c>
    </row>
    <row r="33" spans="1:7" ht="14.95" thickBot="1" x14ac:dyDescent="0.3">
      <c r="A33" s="106"/>
      <c r="B33" s="109"/>
      <c r="C33" s="83">
        <v>29</v>
      </c>
      <c r="D33" s="83">
        <v>65</v>
      </c>
      <c r="E33" s="51" t="s">
        <v>58</v>
      </c>
      <c r="F33" s="60" t="s">
        <v>63</v>
      </c>
      <c r="G33" s="60" t="s">
        <v>69</v>
      </c>
    </row>
    <row r="34" spans="1:7" ht="14.95" thickBot="1" x14ac:dyDescent="0.3">
      <c r="A34" s="106"/>
      <c r="B34" s="109"/>
      <c r="C34" s="83">
        <v>66</v>
      </c>
      <c r="D34" s="83">
        <v>127</v>
      </c>
      <c r="E34" s="51" t="s">
        <v>60</v>
      </c>
      <c r="F34" s="60" t="s">
        <v>73</v>
      </c>
      <c r="G34" s="60" t="s">
        <v>61</v>
      </c>
    </row>
    <row r="35" spans="1:7" ht="14.95" thickBot="1" x14ac:dyDescent="0.3">
      <c r="A35" s="107"/>
      <c r="B35" s="110"/>
      <c r="C35" s="83">
        <v>128</v>
      </c>
      <c r="D35" s="83">
        <v>249</v>
      </c>
      <c r="E35" s="53" t="s">
        <v>62</v>
      </c>
      <c r="F35" s="52" t="s">
        <v>75</v>
      </c>
      <c r="G35" s="52" t="s">
        <v>63</v>
      </c>
    </row>
    <row r="36" spans="1:7" ht="14.95" thickBot="1" x14ac:dyDescent="0.3">
      <c r="A36" s="105">
        <v>2</v>
      </c>
      <c r="B36" s="108">
        <v>1.6</v>
      </c>
      <c r="C36" s="83">
        <v>0</v>
      </c>
      <c r="D36" s="83">
        <v>5</v>
      </c>
      <c r="E36" s="56" t="s">
        <v>70</v>
      </c>
      <c r="F36" s="60" t="s">
        <v>59</v>
      </c>
      <c r="G36" s="60" t="s">
        <v>55</v>
      </c>
    </row>
    <row r="37" spans="1:7" ht="14.95" thickBot="1" x14ac:dyDescent="0.3">
      <c r="A37" s="106"/>
      <c r="B37" s="109"/>
      <c r="C37" s="83">
        <v>6</v>
      </c>
      <c r="D37" s="83">
        <v>9</v>
      </c>
      <c r="E37" s="51" t="s">
        <v>71</v>
      </c>
      <c r="F37" s="60" t="s">
        <v>69</v>
      </c>
      <c r="G37" s="60" t="s">
        <v>55</v>
      </c>
    </row>
    <row r="38" spans="1:7" ht="14.95" thickBot="1" x14ac:dyDescent="0.3">
      <c r="A38" s="106"/>
      <c r="B38" s="109"/>
      <c r="C38" s="83">
        <v>10</v>
      </c>
      <c r="D38" s="83">
        <v>16</v>
      </c>
      <c r="E38" s="51" t="s">
        <v>66</v>
      </c>
      <c r="F38" s="60" t="s">
        <v>61</v>
      </c>
      <c r="G38" s="60" t="s">
        <v>57</v>
      </c>
    </row>
    <row r="39" spans="1:7" ht="14.95" thickBot="1" x14ac:dyDescent="0.3">
      <c r="A39" s="106"/>
      <c r="B39" s="109"/>
      <c r="C39" s="83">
        <v>17</v>
      </c>
      <c r="D39" s="83">
        <v>28</v>
      </c>
      <c r="E39" s="51" t="s">
        <v>56</v>
      </c>
      <c r="F39" s="60" t="s">
        <v>67</v>
      </c>
      <c r="G39" s="60" t="s">
        <v>64</v>
      </c>
    </row>
    <row r="40" spans="1:7" ht="14.95" thickBot="1" x14ac:dyDescent="0.3">
      <c r="A40" s="106"/>
      <c r="B40" s="109"/>
      <c r="C40" s="83">
        <v>29</v>
      </c>
      <c r="D40" s="83">
        <v>65</v>
      </c>
      <c r="E40" s="51" t="s">
        <v>58</v>
      </c>
      <c r="F40" s="60" t="s">
        <v>68</v>
      </c>
      <c r="G40" s="60" t="s">
        <v>74</v>
      </c>
    </row>
    <row r="41" spans="1:7" ht="14.95" thickBot="1" x14ac:dyDescent="0.3">
      <c r="A41" s="106"/>
      <c r="B41" s="109"/>
      <c r="C41" s="83">
        <v>66</v>
      </c>
      <c r="D41" s="83">
        <v>127</v>
      </c>
      <c r="E41" s="51" t="s">
        <v>60</v>
      </c>
      <c r="F41" s="60" t="s">
        <v>76</v>
      </c>
      <c r="G41" s="60" t="s">
        <v>63</v>
      </c>
    </row>
    <row r="42" spans="1:7" ht="14.95" thickBot="1" x14ac:dyDescent="0.3">
      <c r="A42" s="107"/>
      <c r="B42" s="110"/>
      <c r="C42" s="83">
        <v>128</v>
      </c>
      <c r="D42" s="83">
        <v>249</v>
      </c>
      <c r="E42" s="53" t="s">
        <v>62</v>
      </c>
      <c r="F42" s="52" t="s">
        <v>77</v>
      </c>
      <c r="G42" s="52" t="s">
        <v>78</v>
      </c>
    </row>
  </sheetData>
  <sheetProtection algorithmName="SHA-512" hashValue="DIemF2P4nppKR8/jk/k/dQXUTXHa1DasAzgXrDgqS0nLUROYldeOegH45TzqiDbhN2VwSegizGRpq5YQyow2QA==" saltValue="JdD+xXlNoBgXQn4eGjWYLw==" spinCount="100000" sheet="1" formatCells="0" formatColumns="0" formatRows="0" insertColumns="0" insertRows="0" insertHyperlinks="0" deleteColumns="0" deleteRows="0" sort="0" autoFilter="0" pivotTables="0"/>
  <mergeCells count="21">
    <mergeCell ref="A3:E3"/>
    <mergeCell ref="A36:A42"/>
    <mergeCell ref="B36:B42"/>
    <mergeCell ref="I3:K3"/>
    <mergeCell ref="L3:M3"/>
    <mergeCell ref="I4:I5"/>
    <mergeCell ref="J4:J5"/>
    <mergeCell ref="L4:L5"/>
    <mergeCell ref="A10:A15"/>
    <mergeCell ref="B10:B15"/>
    <mergeCell ref="A16:A22"/>
    <mergeCell ref="B16:B22"/>
    <mergeCell ref="A23:A28"/>
    <mergeCell ref="B23:B28"/>
    <mergeCell ref="A5:A9"/>
    <mergeCell ref="B5:B9"/>
    <mergeCell ref="K4:K5"/>
    <mergeCell ref="C4:D4"/>
    <mergeCell ref="M4:M5"/>
    <mergeCell ref="A29:A35"/>
    <mergeCell ref="B29:B35"/>
  </mergeCells>
  <pageMargins left="0.7" right="0.7" top="0.75" bottom="0.75" header="0.3" footer="0.3"/>
  <pageSetup scale="99" orientation="portrait" r:id="rId1"/>
  <colBreaks count="1" manualBreakCount="1">
    <brk id="7" max="4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Design Tool</vt:lpstr>
      <vt:lpstr>Appendix I</vt:lpstr>
      <vt:lpstr>'Design Tool'!Print_Area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Tyler McIntosh</dc:creator>
  <cp:lastModifiedBy>Windows User</cp:lastModifiedBy>
  <cp:lastPrinted>2021-11-15T17:01:52Z</cp:lastPrinted>
  <dcterms:created xsi:type="dcterms:W3CDTF">2021-04-13T21:34:11Z</dcterms:created>
  <dcterms:modified xsi:type="dcterms:W3CDTF">2021-12-08T18:46:51Z</dcterms:modified>
</cp:coreProperties>
</file>